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B8" i="9"/>
  <c r="J15" i="16"/>
  <c r="D6" i="17"/>
  <c r="O4" i="48"/>
  <c r="E16"/>
  <c r="I16"/>
  <c r="I24"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1" i="48" l="1"/>
  <c r="I31" s="1"/>
  <c r="D28"/>
  <c r="D30"/>
  <c r="I28"/>
  <c r="E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9" i="20" l="1"/>
  <c r="C17" i="19"/>
  <c r="C19" s="1"/>
  <c r="D35" i="14" s="1"/>
  <c r="C18" i="15"/>
  <c r="C20" s="1"/>
  <c r="D36" i="14" s="1"/>
  <c r="C16" i="22"/>
  <c r="C20" i="16"/>
  <c r="C22" s="1"/>
  <c r="D39" i="14" s="1"/>
  <c r="C10" i="13"/>
  <c r="C10" i="17"/>
  <c r="C12" s="1"/>
  <c r="D48" i="14" s="1"/>
  <c r="C56" i="22"/>
  <c r="C58" s="1"/>
  <c r="D44" i="14" s="1"/>
  <c r="D46" s="1"/>
  <c r="C17" i="49"/>
  <c r="Q5" i="48"/>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F25" i="48"/>
  <c r="F31" s="1"/>
  <c r="F14"/>
  <c r="N25" l="1"/>
  <c r="N31" s="1"/>
  <c r="D41" i="14"/>
  <c r="D53" s="1"/>
  <c r="D55" s="1"/>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<sst xmlns="http://schemas.openxmlformats.org/spreadsheetml/2006/main" count="2115" uniqueCount="853">
  <si>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</si>
  <si>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</si>
  <si>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</si>
  <si>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</si>
  <si>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</si>
  <si>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</si>
  <si>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</si>
  <si>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</si>
  <si>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</si>
  <si>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</si>
  <si>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</si>
  <si>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</si>
  <si>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</si>
  <si>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</si>
  <si>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</si>
  <si>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</si>
  <si>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</si>
  <si>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</si>
  <si>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</si>
  <si>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</si>
  <si>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</si>
  <si>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</si>
  <si>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</si>
  <si>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</si>
  <si>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</si>
  <si>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</si>
  <si>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</si>
  <si>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</si>
  <si>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</si>
  <si>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</si>
  <si>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</si>
  <si>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</si>
  <si>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</si>
  <si>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</si>
  <si>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</si>
  <si>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</si>
  <si>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</si>
  <si>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</si>
  <si>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</si>
  <si>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</si>
  <si>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</si>
  <si>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</si>
  <si>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</si>
  <si>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</si>
  <si>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</si>
  <si>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</si>
  <si>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</si>
  <si>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</si>
  <si>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</si>
  <si>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</si>
  <si>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</si>
  <si>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</si>
  <si>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</si>
  <si>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</si>
  <si>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</si>
  <si>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</si>
  <si>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</si>
  <si>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</si>
  <si>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</si>
  <si>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</si>
  <si>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</si>
  <si>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</si>
  <si>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</si>
  <si>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</si>
  <si>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</si>
  <si>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</si>
  <si>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</si>
  <si>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</si>
  <si>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</si>
  <si>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</si>
  <si>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</si>
  <si>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</si>
  <si>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</si>
  <si>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</si>
  <si>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</si>
  <si>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</si>
  <si>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</si>
  <si>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</si>
  <si>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</si>
  <si>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</si>
  <si>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</si>
  <si>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</si>
  <si>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</si>
  <si>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</si>
  <si>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</si>
  <si>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</si>
  <si>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</si>
  <si>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</si>
  <si>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</si>
  <si>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</si>
  <si>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</si>
  <si>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</si>
  <si>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</si>
  <si>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</si>
  <si>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</si>
  <si>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</si>
  <si>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</si>
  <si>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</si>
  <si>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</si>
  <si>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</si>
  <si>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</si>
  <si>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</si>
  <si>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</si>
  <si>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</si>
  <si>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</si>
  <si>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</si>
  <si>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</si>
  <si>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</si>
  <si>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</si>
  <si>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</si>
  <si>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</si>
  <si>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</si>
  <si>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</si>
  <si>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</si>
  <si>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</si>
  <si>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</si>
  <si>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</si>
  <si>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</si>
  <si>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</si>
  <si>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</si>
  <si>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</si>
  <si>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</si>
  <si>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</si>
  <si>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</si>
  <si>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</si>
  <si>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</si>
  <si>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</si>
  <si>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</si>
  <si>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</si>
  <si>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</si>
  <si>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</si>
  <si>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</si>
  <si>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</si>
  <si>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</si>
  <si>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</si>
  <si>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</si>
  <si>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</si>
  <si>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</si>
  <si>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</si>
  <si>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</si>
  <si>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</si>
  <si>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</si>
  <si>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</si>
  <si>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</si>
  <si>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</si>
  <si>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</si>
  <si>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</si>
  <si>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</si>
  <si>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</si>
  <si>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</si>
  <si>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</si>
  <si>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</si>
  <si>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</si>
  <si>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</si>
  <si>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</si>
  <si>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</si>
  <si>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</si>
  <si>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</si>
  <si>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</si>
  <si>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</si>
  <si>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</si>
  <si>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</si>
  <si>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</si>
  <si>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</si>
  <si>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</si>
  <si>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</si>
  <si>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</si>
  <si>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</si>
  <si>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</si>
  <si>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</si>
  <si>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</si>
  <si>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</si>
  <si>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</si>
  <si>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</si>
  <si>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</si>
  <si>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</si>
  <si>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</si>
  <si>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</si>
  <si>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</si>
  <si>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</si>
  <si>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</si>
  <si>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</si>
  <si>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</si>
  <si>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</si>
  <si>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</si>
  <si>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</si>
  <si>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</si>
  <si>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</si>
  <si>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</si>
  <si>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</si>
  <si>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</si>
  <si>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</si>
  <si>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</si>
  <si>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</si>
  <si>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</si>
  <si>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</si>
  <si>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</si>
  <si>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</si>
  <si>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</si>
  <si>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</si>
  <si>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</si>
  <si>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</si>
  <si>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</si>
  <si>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</si>
  <si>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</si>
  <si>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</si>
  <si>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</si>
  <si>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</si>
  <si>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</si>
  <si>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</si>
  <si>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</si>
  <si>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</si>
  <si>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</si>
  <si>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</si>
  <si>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</si>
  <si>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</si>
  <si>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</si>
  <si>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</si>
  <si>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</si>
  <si>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</si>
  <si>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</si>
  <si>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</si>
  <si>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</si>
  <si>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</si>
  <si>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</si>
  <si>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</si>
  <si>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</si>
  <si>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</si>
  <si>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</si>
  <si>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</si>
  <si>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</si>
  <si>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</si>
  <si>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</si>
  <si>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</si>
  <si>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</si>
  <si>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</si>
  <si>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</si>
  <si>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</si>
  <si>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</si>
  <si>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</si>
  <si>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</si>
  <si>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</si>
  <si>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</si>
  <si>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</si>
  <si>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</si>
  <si>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</si>
  <si>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</si>
  <si>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</si>
  <si>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</si>
  <si>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</si>
  <si>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</si>
  <si>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</si>
  <si>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</si>
  <si>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</si>
  <si>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</si>
  <si>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</si>
  <si>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</si>
  <si>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</si>
  <si>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</si>
  <si>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</si>
  <si>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</si>
  <si>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</si>
  <si>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</si>
  <si>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</si>
  <si>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</si>
  <si>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</si>
  <si>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</si>
  <si>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</si>
  <si>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</si>
  <si>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</si>
  <si>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</si>
  <si>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</si>
  <si>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</si>
  <si>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</si>
  <si>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</si>
  <si>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</si>
  <si>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</si>
  <si>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</si>
  <si>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</si>
  <si>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</si>
  <si>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</si>
  <si>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</si>
  <si>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</si>
  <si>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</si>
  <si>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</si>
  <si>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</si>
  <si>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</si>
  <si>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</si>
  <si>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</si>
  <si>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</si>
  <si>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</si>
  <si>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</si>
  <si>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</si>
  <si>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</si>
  <si>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</si>
  <si>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</si>
  <si>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</si>
  <si>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</si>
  <si>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</si>
  <si>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</si>
  <si>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</si>
  <si>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</si>
  <si>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</si>
  <si>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</si>
  <si>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</si>
  <si>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</si>
  <si>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</si>
  <si>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</si>
  <si>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</si>
  <si>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</si>
  <si>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</si>
  <si>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</si>
  <si>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</si>
  <si>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</si>
  <si>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</si>
  <si>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</si>
  <si>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</si>
  <si>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</si>
  <si>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</si>
  <si>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</si>
  <si>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</si>
  <si>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</si>
  <si>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</si>
  <si>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</si>
  <si>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</si>
  <si>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</si>
  <si>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</si>
  <si>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</si>
  <si>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</si>
  <si>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</si>
  <si>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</si>
  <si>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</si>
  <si>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</si>
  <si>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</si>
  <si>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</si>
  <si>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</si>
  <si>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</si>
  <si>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</si>
  <si>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</si>
  <si>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</si>
  <si>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</si>
  <si>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</si>
  <si>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</si>
  <si>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</si>
  <si>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</si>
  <si>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</si>
  <si>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</si>
  <si>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</si>
  <si>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</si>
  <si>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</si>
  <si>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</si>
  <si>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</si>
  <si>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</si>
  <si>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</si>
  <si>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</si>
  <si>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</si>
  <si>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</si>
  <si>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</si>
  <si>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</si>
  <si>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</si>
  <si>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</si>
  <si>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</si>
  <si>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</si>
  <si>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</si>
  <si>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</si>
  <si>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</si>
  <si>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</si>
  <si>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</si>
  <si>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</si>
  <si>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</si>
  <si>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</si>
  <si>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</si>
  <si>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</si>
  <si>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</si>
  <si>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</si>
  <si>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</si>
  <si>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</si>
  <si>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</si>
  <si>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</si>
  <si>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</si>
  <si>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</si>
  <si>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</si>
  <si>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</si>
  <si>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</si>
  <si>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</si>
  <si>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</si>
  <si>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</si>
  <si>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</si>
  <si>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</si>
  <si>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</si>
  <si>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</si>
  <si>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</si>
  <si>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</si>
  <si>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</si>
  <si>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</si>
  <si>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</si>
  <si>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</si>
  <si>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</si>
  <si>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</si>
  <si>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</si>
  <si>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</si>
  <si>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</si>
  <si>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</si>
  <si>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</si>
  <si>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</si>
  <si>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</si>
  <si>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</si>
  <si>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</si>
  <si>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</si>
  <si>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</si>
  <si>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</si>
  <si>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</si>
  <si>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</si>
  <si>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</si>
  <si>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</si>
  <si>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</si>
  <si>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</si>
  <si>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</si>
  <si>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</si>
  <si>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</si>
  <si>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</si>
  <si>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</si>
  <si>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</si>
  <si>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</si>
  <si>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</si>
  <si>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</si>
  <si>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</si>
  <si>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</si>
  <si>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</si>
  <si>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</si>
  <si>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</si>
  <si>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</si>
  <si>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</si>
  <si>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</si>
  <si>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</si>
  <si>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</si>
  <si>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</si>
  <si>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</si>
  <si>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</si>
  <si>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</si>
  <si>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</si>
  <si>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</si>
  <si>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</si>
  <si>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</si>
  <si>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</si>
  <si>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</si>
  <si>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</si>
  <si>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</si>
  <si>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</si>
  <si>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</si>
  <si>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</si>
  <si>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</si>
  <si>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</si>
  <si>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</si>
  <si>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</si>
  <si>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</si>
  <si>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</si>
  <si>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</si>
  <si>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</si>
  <si>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</si>
  <si>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</si>
  <si>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</si>
  <si>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</si>
  <si>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</si>
  <si>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</si>
  <si>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</si>
  <si>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</si>
  <si>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</si>
  <si>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</si>
  <si>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</si>
  <si>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</si>
  <si>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</si>
  <si>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</si>
  <si>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</si>
  <si>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</si>
  <si>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</si>
  <si>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</si>
  <si>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</si>
  <si>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</si>
  <si>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</si>
  <si>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</si>
  <si>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</si>
  <si>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</si>
  <si>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</si>
  <si>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</si>
  <si>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</si>
  <si>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</si>
  <si>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</si>
  <si>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</si>
  <si>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</si>
  <si>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</si>
  <si>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</si>
  <si>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</si>
  <si>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</si>
  <si>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</si>
  <si>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</si>
  <si>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</si>
  <si>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</si>
  <si>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</si>
  <si>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</si>
  <si>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</si>
  <si>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</si>
  <si>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</si>
  <si>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</si>
  <si>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</si>
  <si>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</si>
  <si>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</si>
  <si>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</si>
  <si>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</si>
  <si>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</si>
  <si>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</si>
  <si>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</si>
  <si>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</si>
  <si>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</si>
  <si>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</si>
  <si>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</si>
  <si>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</si>
  <si>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</si>
  <si>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</si>
  <si>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</si>
  <si>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</si>
  <si>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</si>
  <si>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</si>
  <si>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</si>
  <si>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</si>
  <si>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</si>
  <si>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</si>
  <si>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</si>
  <si>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</si>
  <si>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</si>
  <si>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</si>
  <si>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</si>
  <si>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</si>
  <si>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</si>
  <si>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</si>
  <si>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</si>
  <si>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</si>
  <si>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</si>
  <si>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</si>
  <si>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</si>
  <si>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</si>
  <si>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</si>
  <si>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</si>
  <si>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</si>
  <si>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</si>
  <si>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</si>
  <si>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</si>
  <si>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</si>
  <si>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</si>
  <si>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</si>
  <si>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</si>
  <si>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</si>
  <si>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</si>
  <si>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</si>
  <si>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</si>
  <si>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</si>
  <si>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</si>
  <si>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</si>
  <si>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</si>
  <si>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</si>
  <si>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</si>
  <si>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</si>
  <si>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</si>
  <si>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</si>
  <si>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</si>
  <si>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</si>
  <si>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</si>
  <si>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</si>
  <si>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</si>
  <si>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</si>
  <si>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</si>
  <si>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</si>
  <si>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</si>
  <si>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</si>
  <si>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</si>
  <si>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</si>
  <si>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</si>
  <si>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</si>
  <si>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</si>
  <si>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</si>
  <si>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</si>
  <si>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</si>
  <si>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</si>
  <si>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</si>
  <si>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</si>
  <si>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</si>
  <si>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</si>
  <si>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</si>
  <si>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</si>
  <si>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</si>
  <si>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</si>
  <si>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</si>
  <si>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</si>
  <si>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</si>
  <si>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</si>
  <si>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</si>
  <si>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</si>
  <si>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</si>
  <si>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</si>
  <si>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</si>
  <si>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</si>
  <si>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</si>
  <si>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</si>
  <si>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</si>
  <si>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</si>
  <si>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</si>
  <si>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</si>
  <si>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</si>
  <si>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</si>
  <si>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</si>
  <si>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</si>
  <si>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</si>
  <si>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</si>
  <si>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</si>
  <si>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</si>
  <si>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</si>
  <si>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</si>
  <si>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</si>
  <si>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</si>
  <si>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</si>
  <si>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</si>
  <si>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</si>
  <si>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</si>
  <si>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</si>
  <si>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</si>
  <si>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</si>
  <si>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</si>
  <si>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</si>
  <si>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</si>
  <si>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</si>
  <si>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</si>
  <si>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</si>
  <si>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</si>
  <si>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</si>
  <si>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</si>
  <si>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</si>
  <si>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</si>
  <si>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</si>
  <si>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</si>
  <si>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</si>
  <si>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</si>
  <si>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</si>
  <si>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</si>
  <si>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</si>
  <si>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</si>
  <si>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</si>
  <si>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</si>
  <si>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</si>
  <si>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</si>
  <si>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</si>
  <si>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</si>
  <si>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</si>
  <si>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</si>
  <si>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</si>
  <si>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</si>
  <si>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</si>
  <si>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</si>
  <si>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</si>
  <si>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</si>
  <si>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</si>
  <si>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</si>
  <si>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</si>
  <si>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</si>
  <si>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</si>
  <si>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</si>
  <si>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</si>
  <si>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</si>
  <si>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</si>
  <si>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</si>
  <si>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</si>
  <si>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</si>
  <si>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</si>
  <si>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</si>
  <si>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</si>
  <si>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</si>
  <si>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</si>
  <si>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</si>
  <si>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</si>
  <si>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</si>
  <si>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</si>
  <si>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</si>
  <si>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</si>
  <si>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</si>
  <si>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</si>
  <si>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</si>
  <si>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</si>
  <si>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</si>
  <si>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</si>
  <si>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</si>
  <si>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</si>
  <si>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</si>
  <si>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</si>
  <si>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</si>
  <si>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</si>
  <si>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</si>
  <si>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</si>
  <si>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</si>
  <si>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</si>
  <si>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</si>
  <si>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</si>
  <si>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</si>
  <si>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</si>
  <si>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</si>
  <si>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</si>
  <si>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</si>
  <si>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</si>
  <si>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</si>
  <si>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</si>
  <si>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</si>
  <si>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</si>
  <si>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</si>
  <si>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</si>
  <si>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</si>
  <si>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</si>
  <si>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</si>
  <si>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</si>
  <si>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</si>
  <si>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</si>
  <si>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</si>
  <si>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</si>
  <si>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</si>
  <si>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</si>
  <si>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</si>
  <si>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</si>
  <si>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</si>
  <si>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</si>
  <si>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</si>
  <si>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</si>
  <si>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</si>
  <si>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</si>
  <si>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</si>
  <si>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</si>
  <si>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</si>
  <si>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</si>
  <si>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</si>
  <si>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</si>
  <si>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</si>
  <si>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</si>
  <si>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</si>
  <si>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</si>
  <si>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</si>
  <si>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</si>
  <si>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</si>
  <si>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</si>
  <si>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</si>
  <si>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</si>
  <si>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</si>
  <si>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</si>
  <si>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</si>
  <si>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</si>
  <si>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</si>
  <si>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</si>
  <si>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</si>
  <si>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</si>
  <si>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</si>
  <si>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</si>
  <si>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</si>
  <si>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</si>
  <si>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</si>
  <si>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</si>
  <si>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</si>
  <si>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</si>
  <si>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</si>
  <si>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</si>
  <si>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</si>
  <si>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</si>
  <si>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</si>
  <si>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</si>
  <si>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</si>
  <si>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</si>
  <si>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</si>
  <si>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</si>
  <si>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</si>
  <si>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</si>
  <si>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</si>
  <si>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</si>
  <si>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</si>
  <si>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</si>
  <si>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</si>
  <si>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</si>
  <si>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</si>
  <si>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</si>
  <si>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</si>
  <si>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</si>
  <si>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</si>
  <si>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</si>
  <si>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</si>
  <si>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</si>
  <si>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</si>
  <si>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</si>
  <si>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</si>
  <si>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</si>
  <si>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</si>
  <si>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</si>
  <si>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</si>
  <si>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</si>
  <si>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</si>
  <si>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</si>
  <si>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</si>
  <si>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</si>
  <si>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</si>
  <si>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</si>
  <si>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</si>
  <si>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</si>
  <si>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</si>
  <si>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</si>
  <si>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</si>
  <si>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</si>
  <si>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</si>
  <si>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</si>
  <si>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</si>
  <si>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</si>
  <si>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</si>
  <si>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</si>
  <si>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</si>
  <si>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</si>
  <si>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</si>
  <si>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</si>
  <si>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</si>
  <si>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</si>
  <si>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</si>
  <si>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</si>
  <si>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</si>
  <si>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</si>
  <si>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</si>
  <si>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</si>
  <si>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</si>
  <si>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</si>
  <si>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</si>
  <si>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</si>
  <si>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</si>
  <si>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</si>
  <si>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</si>
  <si>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</si>
  <si>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</si>
  <si>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</si>
  <si>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24059</t>
  </si>
  <si>
    <t>LANDEN</t>
  </si>
  <si>
    <t>Eandis (januari 2018); Infrax (juni 2018)</t>
  </si>
  <si>
    <t>MOW (september 2017)</t>
  </si>
  <si>
    <t>referentietaak LNE (2017); Jaarverslag De Lijn (2016)</t>
  </si>
  <si>
    <t>VEA (april 2018)</t>
  </si>
  <si>
    <t>VEA (januari 2017)</t>
  </si>
  <si>
    <t>VEA (juni 2018)</t>
  </si>
  <si>
    <t>Coil NV</t>
  </si>
  <si>
    <t>Roosveld 5 , 3400 Landen</t>
  </si>
  <si>
    <t>WKK-0475 Coil</t>
  </si>
  <si>
    <t>interne verbrandingsmotor</t>
  </si>
  <si>
    <t>WKK interne verbrandinsgmotor (gas)</t>
  </si>
  <si>
    <t>PBE</t>
  </si>
  <si>
    <t>WKK-0679 Free-Lance Camera</t>
  </si>
  <si>
    <t>brandstofcel</t>
  </si>
  <si>
    <t>Brouwerijstraat 55 , 3400 Eliksem</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</si>
</sst>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153326.42279350254</c:v>
                </c:pt>
                <c:pt idx="1">
                  <c:v>25507.596489793406</c:v>
                </c:pt>
                <c:pt idx="2">
                  <c:v>981.04700000000003</c:v>
                </c:pt>
                <c:pt idx="3">
                  <c:v>8399.1990510461601</c:v>
                </c:pt>
                <c:pt idx="4">
                  <c:v>44744.827877328571</c:v>
                </c:pt>
                <c:pt idx="5">
                  <c:v>93960.147465683331</c:v>
                </c:pt>
                <c:pt idx="6">
                  <c:v>1100.8359974807561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62304"/>
        <c:axId val="183805056"/>
      </c:barChart>
      <c:catAx>
        <c:axId val="183762304"/>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623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153326.42279350254</c:v>
                </c:pt>
                <c:pt idx="1">
                  <c:v>25507.596489793406</c:v>
                </c:pt>
                <c:pt idx="2">
                  <c:v>981.04700000000003</c:v>
                </c:pt>
                <c:pt idx="3">
                  <c:v>8399.1990510461601</c:v>
                </c:pt>
                <c:pt idx="4">
                  <c:v>44744.827877328571</c:v>
                </c:pt>
                <c:pt idx="5">
                  <c:v>93960.147465683331</c:v>
                </c:pt>
                <c:pt idx="6">
                  <c:v>1100.8359974807561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34246.774755263017</c:v>
                </c:pt>
                <c:pt idx="1">
                  <c:v>5002.7534092419965</c:v>
                </c:pt>
                <c:pt idx="2">
                  <c:v>206.06811585575724</c:v>
                </c:pt>
                <c:pt idx="3">
                  <c:v>2085.0227817233208</c:v>
                </c:pt>
                <c:pt idx="4">
                  <c:v>9322.1786189068262</c:v>
                </c:pt>
                <c:pt idx="5">
                  <c:v>23508.298645080842</c:v>
                </c:pt>
                <c:pt idx="6">
                  <c:v>278.12683491627479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34246.774755263017</c:v>
                </c:pt>
                <c:pt idx="1">
                  <c:v>5002.7534092419965</c:v>
                </c:pt>
                <c:pt idx="2">
                  <c:v>206.06811585575724</c:v>
                </c:pt>
                <c:pt idx="3">
                  <c:v>2085.0227817233208</c:v>
                </c:pt>
                <c:pt idx="4">
                  <c:v>9322.1786189068262</c:v>
                </c:pt>
                <c:pt idx="5">
                  <c:v>23508.298645080842</c:v>
                </c:pt>
                <c:pt idx="6">
                  <c:v>278.12683491627479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24059</v>
      </c>
      <c r="B6" s="415"/>
      <c r="C6" s="416"/>
    </row>
    <row r="7" spans="1:7" s="413" customFormat="1" ht="15.75" customHeight="1">
      <c r="A7" s="417" t="str">
        <f>txtMunicipality</f>
        <v>LANDEN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6691</v>
      </c>
      <c r="C9" s="342">
        <v>7128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3996.68</v>
      </c>
    </row>
    <row r="15" spans="1:6">
      <c r="A15" s="348" t="s">
        <v>184</v>
      </c>
      <c r="B15" s="334">
        <v>5</v>
      </c>
    </row>
    <row r="16" spans="1:6">
      <c r="A16" s="348" t="s">
        <v>6</v>
      </c>
      <c r="B16" s="334">
        <v>146</v>
      </c>
    </row>
    <row r="17" spans="1:6">
      <c r="A17" s="348" t="s">
        <v>7</v>
      </c>
      <c r="B17" s="334">
        <v>270</v>
      </c>
    </row>
    <row r="18" spans="1:6">
      <c r="A18" s="348" t="s">
        <v>8</v>
      </c>
      <c r="B18" s="334">
        <v>293</v>
      </c>
    </row>
    <row r="19" spans="1:6">
      <c r="A19" s="348" t="s">
        <v>9</v>
      </c>
      <c r="B19" s="334">
        <v>246</v>
      </c>
    </row>
    <row r="20" spans="1:6">
      <c r="A20" s="348" t="s">
        <v>10</v>
      </c>
      <c r="B20" s="334">
        <v>179</v>
      </c>
    </row>
    <row r="21" spans="1:6">
      <c r="A21" s="348" t="s">
        <v>11</v>
      </c>
      <c r="B21" s="334">
        <v>534</v>
      </c>
    </row>
    <row r="22" spans="1:6">
      <c r="A22" s="348" t="s">
        <v>12</v>
      </c>
      <c r="B22" s="334">
        <v>2327</v>
      </c>
    </row>
    <row r="23" spans="1:6">
      <c r="A23" s="348" t="s">
        <v>13</v>
      </c>
      <c r="B23" s="334">
        <v>36</v>
      </c>
    </row>
    <row r="24" spans="1:6">
      <c r="A24" s="348" t="s">
        <v>14</v>
      </c>
      <c r="B24" s="334">
        <v>0</v>
      </c>
    </row>
    <row r="25" spans="1:6">
      <c r="A25" s="348" t="s">
        <v>15</v>
      </c>
      <c r="B25" s="334">
        <v>207</v>
      </c>
    </row>
    <row r="26" spans="1:6">
      <c r="A26" s="348" t="s">
        <v>16</v>
      </c>
      <c r="B26" s="334">
        <v>101</v>
      </c>
    </row>
    <row r="27" spans="1:6">
      <c r="A27" s="348" t="s">
        <v>17</v>
      </c>
      <c r="B27" s="334">
        <v>3</v>
      </c>
    </row>
    <row r="28" spans="1:6" s="356" customFormat="1">
      <c r="A28" s="355" t="s">
        <v>18</v>
      </c>
      <c r="B28" s="355">
        <v>10750</v>
      </c>
    </row>
    <row r="29" spans="1:6">
      <c r="A29" s="355" t="s">
        <v>744</v>
      </c>
      <c r="B29" s="355">
        <v>41</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62379</v>
      </c>
    </row>
    <row r="39" spans="1:6">
      <c r="A39" s="348" t="s">
        <v>30</v>
      </c>
      <c r="B39" s="348" t="s">
        <v>31</v>
      </c>
      <c r="C39" s="334">
        <v>2267</v>
      </c>
      <c r="D39" s="334">
        <v>34872623.350000001</v>
      </c>
      <c r="E39" s="334">
        <v>6784</v>
      </c>
      <c r="F39" s="334">
        <v>24335561.772999998</v>
      </c>
    </row>
    <row r="40" spans="1:6">
      <c r="A40" s="348" t="s">
        <v>30</v>
      </c>
      <c r="B40" s="348" t="s">
        <v>29</v>
      </c>
      <c r="C40" s="334">
        <v>0</v>
      </c>
      <c r="D40" s="334">
        <v>0</v>
      </c>
      <c r="E40" s="334">
        <v>0</v>
      </c>
      <c r="F40" s="334">
        <v>0</v>
      </c>
    </row>
    <row r="41" spans="1:6">
      <c r="A41" s="348" t="s">
        <v>32</v>
      </c>
      <c r="B41" s="348" t="s">
        <v>33</v>
      </c>
      <c r="C41" s="334">
        <v>26</v>
      </c>
      <c r="D41" s="334">
        <v>674394.6</v>
      </c>
      <c r="E41" s="334">
        <v>71</v>
      </c>
      <c r="F41" s="334">
        <v>922732.45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18258946</v>
      </c>
      <c r="E44" s="334">
        <v>20</v>
      </c>
      <c r="F44" s="334">
        <v>16286178.15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69209</v>
      </c>
    </row>
    <row r="48" spans="1:6">
      <c r="A48" s="348" t="s">
        <v>32</v>
      </c>
      <c r="B48" s="348" t="s">
        <v>29</v>
      </c>
      <c r="C48" s="334">
        <v>5</v>
      </c>
      <c r="D48" s="334">
        <v>3318879</v>
      </c>
      <c r="E48" s="334">
        <v>7</v>
      </c>
      <c r="F48" s="334">
        <v>3506118</v>
      </c>
    </row>
    <row r="49" spans="1:6">
      <c r="A49" s="348" t="s">
        <v>32</v>
      </c>
      <c r="B49" s="348" t="s">
        <v>40</v>
      </c>
      <c r="C49" s="334">
        <v>0</v>
      </c>
      <c r="D49" s="334">
        <v>0</v>
      </c>
      <c r="E49" s="334">
        <v>0</v>
      </c>
      <c r="F49" s="334">
        <v>0</v>
      </c>
    </row>
    <row r="50" spans="1:6">
      <c r="A50" s="348" t="s">
        <v>32</v>
      </c>
      <c r="B50" s="348" t="s">
        <v>41</v>
      </c>
      <c r="C50" s="334">
        <v>4</v>
      </c>
      <c r="D50" s="334">
        <v>49926</v>
      </c>
      <c r="E50" s="334">
        <v>14</v>
      </c>
      <c r="F50" s="334">
        <v>256327.05</v>
      </c>
    </row>
    <row r="51" spans="1:6">
      <c r="A51" s="348" t="s">
        <v>42</v>
      </c>
      <c r="B51" s="348" t="s">
        <v>43</v>
      </c>
      <c r="C51" s="334">
        <v>13</v>
      </c>
      <c r="D51" s="334">
        <v>317608</v>
      </c>
      <c r="E51" s="334">
        <v>74</v>
      </c>
      <c r="F51" s="334">
        <v>1287781.3</v>
      </c>
    </row>
    <row r="52" spans="1:6">
      <c r="A52" s="348" t="s">
        <v>42</v>
      </c>
      <c r="B52" s="348" t="s">
        <v>29</v>
      </c>
      <c r="C52" s="334">
        <v>0</v>
      </c>
      <c r="D52" s="334">
        <v>0</v>
      </c>
      <c r="E52" s="334">
        <v>0</v>
      </c>
      <c r="F52" s="334">
        <v>0</v>
      </c>
    </row>
    <row r="53" spans="1:6">
      <c r="A53" s="348" t="s">
        <v>44</v>
      </c>
      <c r="B53" s="348" t="s">
        <v>45</v>
      </c>
      <c r="C53" s="334">
        <v>26</v>
      </c>
      <c r="D53" s="334">
        <v>1369938.3</v>
      </c>
      <c r="E53" s="334">
        <v>121</v>
      </c>
      <c r="F53" s="334">
        <v>875264.98800000001</v>
      </c>
    </row>
    <row r="54" spans="1:6">
      <c r="A54" s="348" t="s">
        <v>46</v>
      </c>
      <c r="B54" s="348" t="s">
        <v>47</v>
      </c>
      <c r="C54" s="334">
        <v>0</v>
      </c>
      <c r="D54" s="334">
        <v>0</v>
      </c>
      <c r="E54" s="334">
        <v>1</v>
      </c>
      <c r="F54" s="334">
        <v>981047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464233</v>
      </c>
      <c r="E57" s="334">
        <v>74</v>
      </c>
      <c r="F57" s="334">
        <v>2019869.85</v>
      </c>
    </row>
    <row r="58" spans="1:6">
      <c r="A58" s="348" t="s">
        <v>49</v>
      </c>
      <c r="B58" s="348" t="s">
        <v>51</v>
      </c>
      <c r="C58" s="334">
        <v>16</v>
      </c>
      <c r="D58" s="334">
        <v>1388537</v>
      </c>
      <c r="E58" s="334">
        <v>36</v>
      </c>
      <c r="F58" s="334">
        <v>571581</v>
      </c>
    </row>
    <row r="59" spans="1:6">
      <c r="A59" s="348" t="s">
        <v>49</v>
      </c>
      <c r="B59" s="348" t="s">
        <v>52</v>
      </c>
      <c r="C59" s="334">
        <v>47</v>
      </c>
      <c r="D59" s="334">
        <v>8295658.5499999998</v>
      </c>
      <c r="E59" s="334">
        <v>143</v>
      </c>
      <c r="F59" s="334">
        <v>3623383.15</v>
      </c>
    </row>
    <row r="60" spans="1:6">
      <c r="A60" s="348" t="s">
        <v>49</v>
      </c>
      <c r="B60" s="348" t="s">
        <v>53</v>
      </c>
      <c r="C60" s="334">
        <v>29</v>
      </c>
      <c r="D60" s="334">
        <v>1137282</v>
      </c>
      <c r="E60" s="334">
        <v>52</v>
      </c>
      <c r="F60" s="334">
        <v>1041007</v>
      </c>
    </row>
    <row r="61" spans="1:6">
      <c r="A61" s="348" t="s">
        <v>49</v>
      </c>
      <c r="B61" s="348" t="s">
        <v>54</v>
      </c>
      <c r="C61" s="334">
        <v>59</v>
      </c>
      <c r="D61" s="334">
        <v>1790743.9</v>
      </c>
      <c r="E61" s="334">
        <v>225</v>
      </c>
      <c r="F61" s="334">
        <v>2654781.75</v>
      </c>
    </row>
    <row r="62" spans="1:6">
      <c r="A62" s="348" t="s">
        <v>49</v>
      </c>
      <c r="B62" s="348" t="s">
        <v>55</v>
      </c>
      <c r="C62" s="334">
        <v>0</v>
      </c>
      <c r="D62" s="334">
        <v>0</v>
      </c>
      <c r="E62" s="334">
        <v>4</v>
      </c>
      <c r="F62" s="334">
        <v>33464</v>
      </c>
    </row>
    <row r="63" spans="1:6">
      <c r="A63" s="348" t="s">
        <v>49</v>
      </c>
      <c r="B63" s="348" t="s">
        <v>29</v>
      </c>
      <c r="C63" s="334">
        <v>1</v>
      </c>
      <c r="D63" s="334">
        <v>22609</v>
      </c>
      <c r="E63" s="334">
        <v>0</v>
      </c>
      <c r="F63" s="334">
        <v>0</v>
      </c>
    </row>
    <row r="64" spans="1:6">
      <c r="A64" s="348" t="s">
        <v>56</v>
      </c>
      <c r="B64" s="348" t="s">
        <v>57</v>
      </c>
      <c r="C64" s="334">
        <v>0</v>
      </c>
      <c r="D64" s="334">
        <v>0</v>
      </c>
      <c r="E64" s="334">
        <v>0</v>
      </c>
      <c r="F64" s="334">
        <v>0</v>
      </c>
    </row>
    <row r="65" spans="1:6">
      <c r="A65" s="348" t="s">
        <v>56</v>
      </c>
      <c r="B65" s="348" t="s">
        <v>29</v>
      </c>
      <c r="C65" s="334">
        <v>2</v>
      </c>
      <c r="D65" s="334">
        <v>192419</v>
      </c>
      <c r="E65" s="334">
        <v>3</v>
      </c>
      <c r="F65" s="334">
        <v>269326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80247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37299216</v>
      </c>
      <c r="E73" s="476">
        <v>37727745.743849039</v>
      </c>
    </row>
    <row r="74" spans="1:6">
      <c r="A74" s="348" t="s">
        <v>64</v>
      </c>
      <c r="B74" s="348" t="s">
        <v>657</v>
      </c>
      <c r="C74" s="1272" t="s">
        <v>659</v>
      </c>
      <c r="D74" s="476">
        <v>2063828.4397400883</v>
      </c>
      <c r="E74" s="476">
        <v>2085892.1139631274</v>
      </c>
    </row>
    <row r="75" spans="1:6">
      <c r="A75" s="348" t="s">
        <v>65</v>
      </c>
      <c r="B75" s="348" t="s">
        <v>656</v>
      </c>
      <c r="C75" s="1272" t="s">
        <v>660</v>
      </c>
      <c r="D75" s="476">
        <v>24026326</v>
      </c>
      <c r="E75" s="476">
        <v>24285699.965346124</v>
      </c>
    </row>
    <row r="76" spans="1:6">
      <c r="A76" s="348" t="s">
        <v>65</v>
      </c>
      <c r="B76" s="348" t="s">
        <v>657</v>
      </c>
      <c r="C76" s="1272" t="s">
        <v>661</v>
      </c>
      <c r="D76" s="476">
        <v>443985.43974008819</v>
      </c>
      <c r="E76" s="476">
        <v>449209.73450961278</v>
      </c>
    </row>
    <row r="77" spans="1:6">
      <c r="A77" s="348" t="s">
        <v>66</v>
      </c>
      <c r="B77" s="348" t="s">
        <v>656</v>
      </c>
      <c r="C77" s="1272" t="s">
        <v>662</v>
      </c>
      <c r="D77" s="476">
        <v>42031173</v>
      </c>
      <c r="E77" s="476">
        <v>43614104.339726254</v>
      </c>
    </row>
    <row r="78" spans="1:6">
      <c r="A78" s="341" t="s">
        <v>66</v>
      </c>
      <c r="B78" s="341" t="s">
        <v>657</v>
      </c>
      <c r="C78" s="341" t="s">
        <v>663</v>
      </c>
      <c r="D78" s="1273">
        <v>5635761</v>
      </c>
      <c r="E78" s="1273">
        <v>5531609.7675319659</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298565.12051982357</v>
      </c>
      <c r="C83" s="476">
        <v>298971.42347102269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2927.1800769529882</v>
      </c>
    </row>
    <row r="92" spans="1:6">
      <c r="A92" s="341" t="s">
        <v>69</v>
      </c>
      <c r="B92" s="342">
        <v>528.71178957358279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430</v>
      </c>
    </row>
    <row r="98" spans="1:6">
      <c r="A98" s="348" t="s">
        <v>72</v>
      </c>
      <c r="B98" s="334">
        <v>3</v>
      </c>
    </row>
    <row r="99" spans="1:6">
      <c r="A99" s="348" t="s">
        <v>73</v>
      </c>
      <c r="B99" s="334">
        <v>68</v>
      </c>
    </row>
    <row r="100" spans="1:6">
      <c r="A100" s="348" t="s">
        <v>74</v>
      </c>
      <c r="B100" s="334">
        <v>273</v>
      </c>
    </row>
    <row r="101" spans="1:6">
      <c r="A101" s="348" t="s">
        <v>75</v>
      </c>
      <c r="B101" s="334">
        <v>37</v>
      </c>
    </row>
    <row r="102" spans="1:6">
      <c r="A102" s="348" t="s">
        <v>76</v>
      </c>
      <c r="B102" s="334">
        <v>74</v>
      </c>
    </row>
    <row r="103" spans="1:6">
      <c r="A103" s="348" t="s">
        <v>77</v>
      </c>
      <c r="B103" s="334">
        <v>152</v>
      </c>
    </row>
    <row r="104" spans="1:6">
      <c r="A104" s="348" t="s">
        <v>78</v>
      </c>
      <c r="B104" s="334">
        <v>4697</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53</v>
      </c>
      <c r="C123" s="334">
        <v>25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0</v>
      </c>
    </row>
    <row r="131" spans="1:6">
      <c r="A131" s="348" t="s">
        <v>296</v>
      </c>
      <c r="B131" s="334">
        <v>0</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64202.590757436759</v>
      </c>
      <c r="C3" s="43" t="s">
        <v>170</v>
      </c>
      <c r="D3" s="43"/>
      <c r="E3" s="154"/>
      <c r="F3" s="43"/>
      <c r="G3" s="43"/>
      <c r="H3" s="43"/>
      <c r="I3" s="43"/>
      <c r="J3" s="43"/>
      <c r="K3" s="96"/>
    </row>
    <row r="4" spans="1:11">
      <c r="A4" s="383" t="s">
        <v>171</v>
      </c>
      <c r="B4" s="49">
        <f>IF(ISERROR('SEAP template'!B69),0,'SEAP template'!B69)</f>
        <v>7101.6001998599049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866.38249602833059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0.21004917792496919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1237.6899299690956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5208.1574967824972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0.23764448957884193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981.04700000000003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981.04700000000003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0.21004917792496919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206.06811585575724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24335.561772999998</v>
      </c>
      <c r="C5" s="17">
        <f>IF(ISERROR('Eigen informatie GS &amp; warmtenet'!B57),0,'Eigen informatie GS &amp; warmtenet'!B57)</f>
        <v>0</v>
      </c>
      <c r="D5" s="30">
        <f>(SUM(HH_hh_gas_kWh,HH_rest_gas_kWh)/1000)*0.902</f>
        <v>31455.106261700003</v>
      </c>
      <c r="E5" s="17">
        <f>B46*B57</f>
        <v>4968.0495035046806</v>
      </c>
      <c r="F5" s="17">
        <f>B51*B62</f>
        <v>78796.178050714501</v>
      </c>
      <c r="G5" s="18"/>
      <c r="H5" s="17"/>
      <c r="I5" s="17"/>
      <c r="J5" s="17">
        <f>B50*B61+C50*C61</f>
        <v>0</v>
      </c>
      <c r="K5" s="17"/>
      <c r="L5" s="17"/>
      <c r="M5" s="17"/>
      <c r="N5" s="17">
        <f>B48*B59+C48*C59</f>
        <v>9212.3704609637007</v>
      </c>
      <c r="O5" s="17">
        <f>B69*B70*B71</f>
        <v>182.91000000000003</v>
      </c>
      <c r="P5" s="17">
        <f>B77*B78*B79/1000-B77*B78*B79/1000/B80</f>
        <v>1449.0666666666666</v>
      </c>
    </row>
    <row r="6" spans="1:16">
      <c r="A6" s="16" t="s">
        <v>621</v>
      </c>
      <c r="B6" s="843">
        <f>kWh_PV_kleiner_dan_10kW</f>
        <v>2927.1800769529882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27262.741849952985</v>
      </c>
      <c r="C8" s="21">
        <f>C5</f>
        <v>0</v>
      </c>
      <c r="D8" s="21">
        <f>D5</f>
        <v>31455.106261700003</v>
      </c>
      <c r="E8" s="21">
        <f>E5</f>
        <v>4968.0495035046806</v>
      </c>
      <c r="F8" s="21">
        <f>F5</f>
        <v>78796.178050714501</v>
      </c>
      <c r="G8" s="21"/>
      <c r="H8" s="21"/>
      <c r="I8" s="21"/>
      <c r="J8" s="21">
        <f>J5</f>
        <v>0</v>
      </c>
      <c r="K8" s="21"/>
      <c r="L8" s="21">
        <f>L5</f>
        <v>0</v>
      </c>
      <c r="M8" s="21">
        <f>M5</f>
        <v>0</v>
      </c>
      <c r="N8" s="21">
        <f>N5</f>
        <v>9212.3704609637007</v>
      </c>
      <c r="O8" s="21">
        <f>O5</f>
        <v>182.91000000000003</v>
      </c>
      <c r="P8" s="21">
        <f>P5</f>
        <v>1449.0666666666666</v>
      </c>
    </row>
    <row r="9" spans="1:16">
      <c r="B9" s="19"/>
      <c r="C9" s="19"/>
      <c r="D9" s="258"/>
      <c r="E9" s="19"/>
      <c r="F9" s="19"/>
      <c r="G9" s="19"/>
      <c r="H9" s="19"/>
      <c r="I9" s="19"/>
      <c r="J9" s="19"/>
      <c r="K9" s="19"/>
      <c r="L9" s="19"/>
      <c r="M9" s="19"/>
      <c r="N9" s="19"/>
      <c r="O9" s="19"/>
      <c r="P9" s="19"/>
    </row>
    <row r="10" spans="1:16">
      <c r="A10" s="24" t="s">
        <v>214</v>
      </c>
      <c r="B10" s="25">
        <f ca="1">'EF ele_warmte'!B12</f>
        <v>0.21004917792496919</v>
      </c>
      <c r="C10" s="25">
        <f ca="1">'EF ele_warmte'!B22</f>
        <v>0.23764448957884193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5726.5165135632778</v>
      </c>
      <c r="C12" s="23">
        <f ca="1">C10*C8</f>
        <v>0</v>
      </c>
      <c r="D12" s="23">
        <f>D8*D10</f>
        <v>6353.9314648634008</v>
      </c>
      <c r="E12" s="23">
        <f>E10*E8</f>
        <v>1127.7472372955626</v>
      </c>
      <c r="F12" s="23">
        <f>F10*F8</f>
        <v>21038.579539540773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430</v>
      </c>
      <c r="C18" s="166" t="s">
        <v>111</v>
      </c>
      <c r="D18" s="228"/>
      <c r="E18" s="15"/>
    </row>
    <row r="19" spans="1:7">
      <c r="A19" s="171" t="s">
        <v>72</v>
      </c>
      <c r="B19" s="37">
        <f>aantalw2001_ander</f>
        <v>3</v>
      </c>
      <c r="C19" s="166" t="s">
        <v>111</v>
      </c>
      <c r="D19" s="229"/>
      <c r="E19" s="15"/>
    </row>
    <row r="20" spans="1:7">
      <c r="A20" s="171" t="s">
        <v>73</v>
      </c>
      <c r="B20" s="37">
        <f>aantalw2001_propaan</f>
        <v>68</v>
      </c>
      <c r="C20" s="167">
        <f>IF(ISERROR(B20/SUM($B$20,$B$21,$B$22)*100),0,B20/SUM($B$20,$B$21,$B$22)*100)</f>
        <v>17.989417989417987</v>
      </c>
      <c r="D20" s="229"/>
      <c r="E20" s="15"/>
    </row>
    <row r="21" spans="1:7">
      <c r="A21" s="171" t="s">
        <v>74</v>
      </c>
      <c r="B21" s="37">
        <f>aantalw2001_elektriciteit</f>
        <v>273</v>
      </c>
      <c r="C21" s="167">
        <f>IF(ISERROR(B21/SUM($B$20,$B$21,$B$22)*100),0,B21/SUM($B$20,$B$21,$B$22)*100)</f>
        <v>72.222222222222214</v>
      </c>
      <c r="D21" s="229"/>
      <c r="E21" s="15"/>
    </row>
    <row r="22" spans="1:7">
      <c r="A22" s="171" t="s">
        <v>75</v>
      </c>
      <c r="B22" s="37">
        <f>aantalw2001_hout</f>
        <v>37</v>
      </c>
      <c r="C22" s="167">
        <f>IF(ISERROR(B22/SUM($B$20,$B$21,$B$22)*100),0,B22/SUM($B$20,$B$21,$B$22)*100)</f>
        <v>9.7883597883597879</v>
      </c>
      <c r="D22" s="229"/>
      <c r="E22" s="15"/>
    </row>
    <row r="23" spans="1:7">
      <c r="A23" s="171" t="s">
        <v>76</v>
      </c>
      <c r="B23" s="37">
        <f>aantalw2001_niet_gespec</f>
        <v>74</v>
      </c>
      <c r="C23" s="166" t="s">
        <v>111</v>
      </c>
      <c r="D23" s="228"/>
      <c r="E23" s="15"/>
    </row>
    <row r="24" spans="1:7">
      <c r="A24" s="171" t="s">
        <v>77</v>
      </c>
      <c r="B24" s="37">
        <f>aantalw2001_steenkool</f>
        <v>152</v>
      </c>
      <c r="C24" s="166" t="s">
        <v>111</v>
      </c>
      <c r="D24" s="229"/>
      <c r="E24" s="15"/>
    </row>
    <row r="25" spans="1:7">
      <c r="A25" s="171" t="s">
        <v>78</v>
      </c>
      <c r="B25" s="37">
        <f>aantalw2001_stookolie</f>
        <v>4697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6691</v>
      </c>
      <c r="C28" s="36"/>
      <c r="D28" s="228"/>
    </row>
    <row r="29" spans="1:7" s="15" customFormat="1">
      <c r="A29" s="230" t="s">
        <v>795</v>
      </c>
      <c r="B29" s="37">
        <f>SUM(HH_hh_gas_aantal,HH_rest_gas_aantal)</f>
        <v>2267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2267</v>
      </c>
      <c r="C32" s="167">
        <f>IF(ISERROR(B32/SUM($B$32,$B$34,$B$35,$B$36,$B$38,$B$39)*100),0,B32/SUM($B$32,$B$34,$B$35,$B$36,$B$38,$B$39)*100)</f>
        <v>34.270597127739983</v>
      </c>
      <c r="D32" s="233"/>
      <c r="G32" s="15"/>
    </row>
    <row r="33" spans="1:7">
      <c r="A33" s="171" t="s">
        <v>72</v>
      </c>
      <c r="B33" s="34" t="s">
        <v>111</v>
      </c>
      <c r="C33" s="167"/>
      <c r="D33" s="233"/>
      <c r="G33" s="15"/>
    </row>
    <row r="34" spans="1:7">
      <c r="A34" s="171" t="s">
        <v>73</v>
      </c>
      <c r="B34" s="33">
        <f>IF((($B$28-$B$32-$B$39-$B$77-$B$38)*C20/100)&lt;0,0,($B$28-$B$32-$B$39-$B$77-$B$38)*C20/100)</f>
        <v>234.63597883597882</v>
      </c>
      <c r="C34" s="167">
        <f>IF(ISERROR(B34/SUM($B$32,$B$34,$B$35,$B$36,$B$38,$B$39)*100),0,B34/SUM($B$32,$B$34,$B$35,$B$36,$B$38,$B$39)*100)</f>
        <v>3.5470291585181979</v>
      </c>
      <c r="D34" s="233"/>
      <c r="G34" s="15"/>
    </row>
    <row r="35" spans="1:7">
      <c r="A35" s="171" t="s">
        <v>74</v>
      </c>
      <c r="B35" s="33">
        <f>IF((($B$28-$B$32-$B$39-$B$77-$B$38)*C21/100)&lt;0,0,($B$28-$B$32-$B$39-$B$77-$B$38)*C21/100)</f>
        <v>941.99444444444453</v>
      </c>
      <c r="C35" s="167">
        <f>IF(ISERROR(B35/SUM($B$32,$B$34,$B$35,$B$36,$B$38,$B$39)*100),0,B35/SUM($B$32,$B$34,$B$35,$B$36,$B$38,$B$39)*100)</f>
        <v>14.240278827580417</v>
      </c>
      <c r="D35" s="233"/>
      <c r="G35" s="15"/>
    </row>
    <row r="36" spans="1:7">
      <c r="A36" s="171" t="s">
        <v>75</v>
      </c>
      <c r="B36" s="33">
        <f>IF((($B$28-$B$32-$B$39-$B$77-$B$38)*C22/100)&lt;0,0,($B$28-$B$32-$B$39-$B$77-$B$38)*C22/100)</f>
        <v>127.66957671957672</v>
      </c>
      <c r="C36" s="167">
        <f>IF(ISERROR(B36/SUM($B$32,$B$34,$B$35,$B$36,$B$38,$B$39)*100),0,B36/SUM($B$32,$B$34,$B$35,$B$36,$B$38,$B$39)*100)</f>
        <v>1.9300011597819613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3043.7</v>
      </c>
      <c r="C39" s="167">
        <f>IF(ISERROR(B39/SUM($B$32,$B$34,$B$35,$B$36,$B$38,$B$39)*100),0,B39/SUM($B$32,$B$34,$B$35,$B$36,$B$38,$B$39)*100)</f>
        <v>46.01209372637944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2267</v>
      </c>
      <c r="C44" s="34" t="s">
        <v>111</v>
      </c>
      <c r="D44" s="174"/>
    </row>
    <row r="45" spans="1:7">
      <c r="A45" s="171" t="s">
        <v>72</v>
      </c>
      <c r="B45" s="33" t="str">
        <f t="shared" si="0"/>
        <v>-</v>
      </c>
      <c r="C45" s="34" t="s">
        <v>111</v>
      </c>
      <c r="D45" s="174"/>
    </row>
    <row r="46" spans="1:7">
      <c r="A46" s="171" t="s">
        <v>73</v>
      </c>
      <c r="B46" s="33">
        <f t="shared" si="0"/>
        <v>234.63597883597882</v>
      </c>
      <c r="C46" s="34" t="s">
        <v>111</v>
      </c>
      <c r="D46" s="174"/>
    </row>
    <row r="47" spans="1:7">
      <c r="A47" s="171" t="s">
        <v>74</v>
      </c>
      <c r="B47" s="33">
        <f t="shared" si="0"/>
        <v>941.99444444444453</v>
      </c>
      <c r="C47" s="34" t="s">
        <v>111</v>
      </c>
      <c r="D47" s="174"/>
    </row>
    <row r="48" spans="1:7">
      <c r="A48" s="171" t="s">
        <v>75</v>
      </c>
      <c r="B48" s="33">
        <f t="shared" si="0"/>
        <v>127.66957671957672</v>
      </c>
      <c r="C48" s="33">
        <f>B48*10</f>
        <v>1276.6957671957673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3043.7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9944.0867500000004</v>
      </c>
      <c r="C5" s="17">
        <f>IF(ISERROR('Eigen informatie GS &amp; warmtenet'!B58),0,'Eigen informatie GS &amp; warmtenet'!B58)</f>
        <v>0</v>
      </c>
      <c r="D5" s="30">
        <f>SUM(D6:D12)</f>
        <v>11815.355231900001</v>
      </c>
      <c r="E5" s="17">
        <f>SUM(E6:E12)</f>
        <v>149.29166332357875</v>
      </c>
      <c r="F5" s="17">
        <f>SUM(F6:F12)</f>
        <v>1847.9268934308836</v>
      </c>
      <c r="G5" s="18"/>
      <c r="H5" s="17"/>
      <c r="I5" s="17"/>
      <c r="J5" s="17">
        <f>SUM(J6:J12)</f>
        <v>4.3843456772310413E-2</v>
      </c>
      <c r="K5" s="17"/>
      <c r="L5" s="17"/>
      <c r="M5" s="17"/>
      <c r="N5" s="17">
        <f>SUM(N6:N12)</f>
        <v>1732.0168824569462</v>
      </c>
      <c r="O5" s="17">
        <f>B38*B39*B40</f>
        <v>0</v>
      </c>
      <c r="P5" s="17">
        <f>B46*B47*B48/1000-B46*B47*B48/1000/B49</f>
        <v>19.066666666666666</v>
      </c>
      <c r="R5" s="32"/>
    </row>
    <row r="6" spans="1:18">
      <c r="A6" s="32" t="s">
        <v>54</v>
      </c>
      <c r="B6" s="37">
        <f>B26</f>
        <v>2654.7817500000001</v>
      </c>
      <c r="C6" s="33"/>
      <c r="D6" s="37">
        <f>IF(ISERROR(TER_kantoor_gas_kWh/1000),0,TER_kantoor_gas_kWh/1000)*0.902</f>
        <v>1615.2509978000001</v>
      </c>
      <c r="E6" s="33">
        <f>$C$26*'E Balans VL '!I12/100/3.6*1000000</f>
        <v>1.6639289042422872E-2</v>
      </c>
      <c r="F6" s="33">
        <f>$C$26*('E Balans VL '!L12+'E Balans VL '!N12)/100/3.6*1000000</f>
        <v>398.93951534791933</v>
      </c>
      <c r="G6" s="34"/>
      <c r="H6" s="33"/>
      <c r="I6" s="33"/>
      <c r="J6" s="33">
        <f>$C$26*('E Balans VL '!D12+'E Balans VL '!E12)/100/3.6*1000000</f>
        <v>0</v>
      </c>
      <c r="K6" s="33"/>
      <c r="L6" s="33"/>
      <c r="M6" s="33"/>
      <c r="N6" s="33">
        <f>$C$26*'E Balans VL '!Y12/100/3.6*1000000</f>
        <v>2.5389051292836577</v>
      </c>
      <c r="O6" s="33"/>
      <c r="P6" s="33"/>
      <c r="R6" s="32"/>
    </row>
    <row r="7" spans="1:18">
      <c r="A7" s="32" t="s">
        <v>53</v>
      </c>
      <c r="B7" s="37">
        <f t="shared" ref="B7:B12" si="0">B27</f>
        <v>1041.0070000000001</v>
      </c>
      <c r="C7" s="33"/>
      <c r="D7" s="37">
        <f>IF(ISERROR(TER_horeca_gas_kWh/1000),0,TER_horeca_gas_kWh/1000)*0.902</f>
        <v>1025.828364</v>
      </c>
      <c r="E7" s="33">
        <f>$C$27*'E Balans VL '!I9/100/3.6*1000000</f>
        <v>14.907046841335278</v>
      </c>
      <c r="F7" s="33">
        <f>$C$27*('E Balans VL '!L9+'E Balans VL '!N9)/100/3.6*1000000</f>
        <v>131.82581993359676</v>
      </c>
      <c r="G7" s="34"/>
      <c r="H7" s="33"/>
      <c r="I7" s="33"/>
      <c r="J7" s="33">
        <f>$C$27*('E Balans VL '!D9+'E Balans VL '!E9)/100/3.6*1000000</f>
        <v>0</v>
      </c>
      <c r="K7" s="33"/>
      <c r="L7" s="33"/>
      <c r="M7" s="33"/>
      <c r="N7" s="33">
        <f>$C$27*'E Balans VL '!Y9/100/3.6*1000000</f>
        <v>0.29926656026586212</v>
      </c>
      <c r="O7" s="33"/>
      <c r="P7" s="33"/>
      <c r="R7" s="32"/>
    </row>
    <row r="8" spans="1:18">
      <c r="A8" s="6" t="s">
        <v>52</v>
      </c>
      <c r="B8" s="37">
        <f t="shared" si="0"/>
        <v>3623.3831500000001</v>
      </c>
      <c r="C8" s="33"/>
      <c r="D8" s="37">
        <f>IF(ISERROR(TER_handel_gas_kWh/1000),0,TER_handel_gas_kWh/1000)*0.902</f>
        <v>7482.6840121000005</v>
      </c>
      <c r="E8" s="33">
        <f>$C$28*'E Balans VL '!I13/100/3.6*1000000</f>
        <v>131.41966003490796</v>
      </c>
      <c r="F8" s="33">
        <f>$C$28*('E Balans VL '!L13+'E Balans VL '!N13)/100/3.6*1000000</f>
        <v>697.9002837770131</v>
      </c>
      <c r="G8" s="34"/>
      <c r="H8" s="33"/>
      <c r="I8" s="33"/>
      <c r="J8" s="33">
        <f>$C$28*('E Balans VL '!D13+'E Balans VL '!E13)/100/3.6*1000000</f>
        <v>0</v>
      </c>
      <c r="K8" s="33"/>
      <c r="L8" s="33"/>
      <c r="M8" s="33"/>
      <c r="N8" s="33">
        <f>$C$28*'E Balans VL '!Y13/100/3.6*1000000</f>
        <v>5.0192193660307618</v>
      </c>
      <c r="O8" s="33"/>
      <c r="P8" s="33"/>
      <c r="R8" s="32"/>
    </row>
    <row r="9" spans="1:18">
      <c r="A9" s="32" t="s">
        <v>51</v>
      </c>
      <c r="B9" s="37">
        <f t="shared" si="0"/>
        <v>571.58100000000002</v>
      </c>
      <c r="C9" s="33"/>
      <c r="D9" s="37">
        <f>IF(ISERROR(TER_gezond_gas_kWh/1000),0,TER_gezond_gas_kWh/1000)*0.902</f>
        <v>1252.460374</v>
      </c>
      <c r="E9" s="33">
        <f>$C$29*'E Balans VL '!I10/100/3.6*1000000</f>
        <v>3.5786613942846164E-2</v>
      </c>
      <c r="F9" s="33">
        <f>$C$29*('E Balans VL '!L10+'E Balans VL '!N10)/100/3.6*1000000</f>
        <v>84.910097848407744</v>
      </c>
      <c r="G9" s="34"/>
      <c r="H9" s="33"/>
      <c r="I9" s="33"/>
      <c r="J9" s="33">
        <f>$C$29*('E Balans VL '!D10+'E Balans VL '!E10)/100/3.6*1000000</f>
        <v>0</v>
      </c>
      <c r="K9" s="33"/>
      <c r="L9" s="33"/>
      <c r="M9" s="33"/>
      <c r="N9" s="33">
        <f>$C$29*'E Balans VL '!Y10/100/3.6*1000000</f>
        <v>8.8412700608520254</v>
      </c>
      <c r="O9" s="33"/>
      <c r="P9" s="33"/>
      <c r="R9" s="32"/>
    </row>
    <row r="10" spans="1:18">
      <c r="A10" s="32" t="s">
        <v>50</v>
      </c>
      <c r="B10" s="37">
        <f t="shared" si="0"/>
        <v>2019.86985</v>
      </c>
      <c r="C10" s="33"/>
      <c r="D10" s="37">
        <f>IF(ISERROR(TER_ander_gas_kWh/1000),0,TER_ander_gas_kWh/1000)*0.902</f>
        <v>418.73816600000004</v>
      </c>
      <c r="E10" s="33">
        <f>$C$30*'E Balans VL '!I14/100/3.6*1000000</f>
        <v>2.4076126832474918</v>
      </c>
      <c r="F10" s="33">
        <f>$C$30*('E Balans VL '!L14+'E Balans VL '!N14)/100/3.6*1000000</f>
        <v>528.48774912064255</v>
      </c>
      <c r="G10" s="34"/>
      <c r="H10" s="33"/>
      <c r="I10" s="33"/>
      <c r="J10" s="33">
        <f>$C$30*('E Balans VL '!D14+'E Balans VL '!E14)/100/3.6*1000000</f>
        <v>4.3843456772310413E-2</v>
      </c>
      <c r="K10" s="33"/>
      <c r="L10" s="33"/>
      <c r="M10" s="33"/>
      <c r="N10" s="33">
        <f>$C$30*'E Balans VL '!Y14/100/3.6*1000000</f>
        <v>1715.2240511004838</v>
      </c>
      <c r="O10" s="33"/>
      <c r="P10" s="33"/>
      <c r="R10" s="32"/>
    </row>
    <row r="11" spans="1:18">
      <c r="A11" s="32" t="s">
        <v>55</v>
      </c>
      <c r="B11" s="37">
        <f t="shared" si="0"/>
        <v>33.463999999999999</v>
      </c>
      <c r="C11" s="33"/>
      <c r="D11" s="37">
        <f>IF(ISERROR(TER_onderwijs_gas_kWh/1000),0,TER_onderwijs_gas_kWh/1000)*0.902</f>
        <v>0</v>
      </c>
      <c r="E11" s="33">
        <f>$C$31*'E Balans VL '!I11/100/3.6*1000000</f>
        <v>0.50491786110277037</v>
      </c>
      <c r="F11" s="33">
        <f>$C$31*('E Balans VL '!L11+'E Balans VL '!N11)/100/3.6*1000000</f>
        <v>5.8634274033042697</v>
      </c>
      <c r="G11" s="34"/>
      <c r="H11" s="33"/>
      <c r="I11" s="33"/>
      <c r="J11" s="33">
        <f>$C$31*('E Balans VL '!D11+'E Balans VL '!E11)/100/3.6*1000000</f>
        <v>0</v>
      </c>
      <c r="K11" s="33"/>
      <c r="L11" s="33"/>
      <c r="M11" s="33"/>
      <c r="N11" s="33">
        <f>$C$31*'E Balans VL '!Y11/100/3.6*1000000</f>
        <v>9.4170240030161445E-2</v>
      </c>
      <c r="O11" s="33"/>
      <c r="P11" s="33"/>
      <c r="R11" s="32"/>
    </row>
    <row r="12" spans="1:18">
      <c r="A12" s="32" t="s">
        <v>260</v>
      </c>
      <c r="B12" s="37">
        <f t="shared" si="0"/>
        <v>0</v>
      </c>
      <c r="C12" s="33"/>
      <c r="D12" s="37">
        <f>IF(ISERROR(TER_rest_gas_kWh/1000),0,TER_rest_gas_kWh/1000)*0.902</f>
        <v>20.393318000000001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0.70833333333333326</v>
      </c>
      <c r="C13" s="247">
        <f ca="1">'lokale energieproductie'!O90+'lokale energieproductie'!O59</f>
        <v>1.0146396396396395</v>
      </c>
      <c r="D13" s="310">
        <f ca="1">('lokale energieproductie'!P59+'lokale energieproductie'!P90)*(-1)</f>
        <v>-1.9144144144144142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9944.7950833333343</v>
      </c>
      <c r="C16" s="21">
        <f t="shared" ca="1" si="1"/>
        <v>1.0146396396396395</v>
      </c>
      <c r="D16" s="21">
        <f t="shared" ca="1" si="1"/>
        <v>11813.440817485587</v>
      </c>
      <c r="E16" s="21">
        <f t="shared" si="1"/>
        <v>149.29166332357875</v>
      </c>
      <c r="F16" s="21">
        <f t="shared" ca="1" si="1"/>
        <v>1847.9268934308836</v>
      </c>
      <c r="G16" s="21">
        <f t="shared" si="1"/>
        <v>0</v>
      </c>
      <c r="H16" s="21">
        <f t="shared" si="1"/>
        <v>0</v>
      </c>
      <c r="I16" s="21">
        <f t="shared" si="1"/>
        <v>0</v>
      </c>
      <c r="J16" s="21">
        <f t="shared" si="1"/>
        <v>4.3843456772310413E-2</v>
      </c>
      <c r="K16" s="21">
        <f t="shared" si="1"/>
        <v>0</v>
      </c>
      <c r="L16" s="21">
        <f t="shared" ca="1" si="1"/>
        <v>0</v>
      </c>
      <c r="M16" s="21">
        <f t="shared" si="1"/>
        <v>0</v>
      </c>
      <c r="N16" s="21">
        <f t="shared" ca="1" si="1"/>
        <v>1732.0168824569462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0.21004917792496919</v>
      </c>
      <c r="C18" s="25">
        <f ca="1">'EF ele_warmte'!B22</f>
        <v>0.23764448957884193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2088.8960318864424</v>
      </c>
      <c r="C20" s="23">
        <f t="shared" ref="C20:P20" ca="1" si="2">C16*C18</f>
        <v>0.24112351926862224</v>
      </c>
      <c r="D20" s="23">
        <f t="shared" ca="1" si="2"/>
        <v>2386.3150451320889</v>
      </c>
      <c r="E20" s="23">
        <f t="shared" si="2"/>
        <v>33.889207574452378</v>
      </c>
      <c r="F20" s="23">
        <f t="shared" ca="1" si="2"/>
        <v>493.39648054604595</v>
      </c>
      <c r="G20" s="23">
        <f t="shared" si="2"/>
        <v>0</v>
      </c>
      <c r="H20" s="23">
        <f t="shared" si="2"/>
        <v>0</v>
      </c>
      <c r="I20" s="23">
        <f t="shared" si="2"/>
        <v>0</v>
      </c>
      <c r="J20" s="23">
        <f t="shared" si="2"/>
        <v>1.5520583697397885E-2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2654.7817500000001</v>
      </c>
      <c r="C26" s="39">
        <f>IF(ISERROR(B26*3.6/1000000/'E Balans VL '!Z12*100),0,B26*3.6/1000000/'E Balans VL '!Z12*100)</f>
        <v>5.6117880681007322E-2</v>
      </c>
      <c r="D26" s="237" t="s">
        <v>754</v>
      </c>
      <c r="F26" s="6"/>
    </row>
    <row r="27" spans="1:18">
      <c r="A27" s="231" t="s">
        <v>53</v>
      </c>
      <c r="B27" s="33">
        <f>IF(ISERROR(TER_horeca_ele_kWh/1000),0,TER_horeca_ele_kWh/1000)</f>
        <v>1041.0070000000001</v>
      </c>
      <c r="C27" s="39">
        <f>IF(ISERROR(B27*3.6/1000000/'E Balans VL '!Z9*100),0,B27*3.6/1000000/'E Balans VL '!Z9*100)</f>
        <v>8.206219380688283E-2</v>
      </c>
      <c r="D27" s="237" t="s">
        <v>754</v>
      </c>
      <c r="F27" s="6"/>
    </row>
    <row r="28" spans="1:18">
      <c r="A28" s="171" t="s">
        <v>52</v>
      </c>
      <c r="B28" s="33">
        <f>IF(ISERROR(TER_handel_ele_kWh/1000),0,TER_handel_ele_kWh/1000)</f>
        <v>3623.3831500000001</v>
      </c>
      <c r="C28" s="39">
        <f>IF(ISERROR(B28*3.6/1000000/'E Balans VL '!Z13*100),0,B28*3.6/1000000/'E Balans VL '!Z13*100)</f>
        <v>0.10516521912143952</v>
      </c>
      <c r="D28" s="237" t="s">
        <v>754</v>
      </c>
      <c r="F28" s="6"/>
    </row>
    <row r="29" spans="1:18">
      <c r="A29" s="231" t="s">
        <v>51</v>
      </c>
      <c r="B29" s="33">
        <f>IF(ISERROR(TER_gezond_ele_kWh/1000),0,TER_gezond_ele_kWh/1000)</f>
        <v>571.58100000000002</v>
      </c>
      <c r="C29" s="39">
        <f>IF(ISERROR(B29*3.6/1000000/'E Balans VL '!Z10*100),0,B29*3.6/1000000/'E Balans VL '!Z10*100)</f>
        <v>6.019686490776377E-2</v>
      </c>
      <c r="D29" s="237" t="s">
        <v>754</v>
      </c>
      <c r="F29" s="6"/>
    </row>
    <row r="30" spans="1:18">
      <c r="A30" s="231" t="s">
        <v>50</v>
      </c>
      <c r="B30" s="33">
        <f>IF(ISERROR(TER_ander_ele_kWh/1000),0,TER_ander_ele_kWh/1000)</f>
        <v>2019.86985</v>
      </c>
      <c r="C30" s="39">
        <f>IF(ISERROR(B30*3.6/1000000/'E Balans VL '!Z14*100),0,B30*3.6/1000000/'E Balans VL '!Z14*100)</f>
        <v>0.14898603884954909</v>
      </c>
      <c r="D30" s="237" t="s">
        <v>754</v>
      </c>
      <c r="F30" s="6"/>
    </row>
    <row r="31" spans="1:18">
      <c r="A31" s="231" t="s">
        <v>55</v>
      </c>
      <c r="B31" s="33">
        <f>IF(ISERROR(TER_onderwijs_ele_kWh/1000),0,TER_onderwijs_ele_kWh/1000)</f>
        <v>33.463999999999999</v>
      </c>
      <c r="C31" s="39">
        <f>IF(ISERROR(B31*3.6/1000000/'E Balans VL '!Z11*100),0,B31*3.6/1000000/'E Balans VL '!Z11*100)</f>
        <v>8.3106787460760171E-3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21040.564649999997</v>
      </c>
      <c r="C5" s="17">
        <f>IF(ISERROR('Eigen informatie GS &amp; warmtenet'!B59),0,'Eigen informatie GS &amp; warmtenet'!B59)</f>
        <v>0</v>
      </c>
      <c r="D5" s="30">
        <f>SUM(D6:D15)</f>
        <v>20116.535331200001</v>
      </c>
      <c r="E5" s="17">
        <f>SUM(E6:E15)</f>
        <v>613.70239850933183</v>
      </c>
      <c r="F5" s="17">
        <f>SUM(F6:F15)</f>
        <v>2981.030880215164</v>
      </c>
      <c r="G5" s="18"/>
      <c r="H5" s="17"/>
      <c r="I5" s="17"/>
      <c r="J5" s="17">
        <f>SUM(J6:J15)</f>
        <v>12.562539590588896</v>
      </c>
      <c r="K5" s="17"/>
      <c r="L5" s="17"/>
      <c r="M5" s="17"/>
      <c r="N5" s="17">
        <f>SUM(N6:N15)</f>
        <v>1542.5749349563489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16286.17815</v>
      </c>
      <c r="C8" s="33"/>
      <c r="D8" s="37">
        <f>IF( ISERROR(IND_metaal_Gas_kWH/1000),0,IND_metaal_Gas_kWH/1000)*0.902</f>
        <v>16469.569292</v>
      </c>
      <c r="E8" s="33">
        <f>C30*'E Balans VL '!I18/100/3.6*1000000</f>
        <v>149.73567874880627</v>
      </c>
      <c r="F8" s="33">
        <f>C30*'E Balans VL '!L18/100/3.6*1000000+C30*'E Balans VL '!N18/100/3.6*1000000</f>
        <v>1527.1012887132142</v>
      </c>
      <c r="G8" s="34"/>
      <c r="H8" s="33"/>
      <c r="I8" s="33"/>
      <c r="J8" s="40">
        <f>C30*'E Balans VL '!D18/100/3.6*1000000+C30*'E Balans VL '!E18/100/3.6*1000000</f>
        <v>0</v>
      </c>
      <c r="K8" s="33"/>
      <c r="L8" s="33"/>
      <c r="M8" s="33"/>
      <c r="N8" s="33">
        <f>C30*'E Balans VL '!Y18/100/3.6*1000000</f>
        <v>232.34924535252142</v>
      </c>
      <c r="O8" s="33"/>
      <c r="P8" s="33"/>
      <c r="R8" s="32"/>
    </row>
    <row r="9" spans="1:18">
      <c r="A9" s="6" t="s">
        <v>33</v>
      </c>
      <c r="B9" s="37">
        <f t="shared" si="0"/>
        <v>922.73244999999997</v>
      </c>
      <c r="C9" s="33"/>
      <c r="D9" s="37">
        <f>IF( ISERROR(IND_andere_gas_kWh/1000),0,IND_andere_gas_kWh/1000)*0.902</f>
        <v>608.30392919999997</v>
      </c>
      <c r="E9" s="33">
        <f>C31*'E Balans VL '!I19/100/3.6*1000000</f>
        <v>269.732658617021</v>
      </c>
      <c r="F9" s="33">
        <f>C31*'E Balans VL '!L19/100/3.6*1000000+C31*'E Balans VL '!N19/100/3.6*1000000</f>
        <v>741.48536800374507</v>
      </c>
      <c r="G9" s="34"/>
      <c r="H9" s="33"/>
      <c r="I9" s="33"/>
      <c r="J9" s="40">
        <f>C31*'E Balans VL '!D19/100/3.6*1000000+C31*'E Balans VL '!E19/100/3.6*1000000</f>
        <v>0</v>
      </c>
      <c r="K9" s="33"/>
      <c r="L9" s="33"/>
      <c r="M9" s="33"/>
      <c r="N9" s="33">
        <f>C31*'E Balans VL '!Y19/100/3.6*1000000</f>
        <v>304.88511204567948</v>
      </c>
      <c r="O9" s="33"/>
      <c r="P9" s="33"/>
      <c r="R9" s="32"/>
    </row>
    <row r="10" spans="1:18">
      <c r="A10" s="6" t="s">
        <v>41</v>
      </c>
      <c r="B10" s="37">
        <f t="shared" si="0"/>
        <v>256.32704999999999</v>
      </c>
      <c r="C10" s="33"/>
      <c r="D10" s="37">
        <f>IF( ISERROR(IND_voed_gas_kWh/1000),0,IND_voed_gas_kWh/1000)*0.902</f>
        <v>45.033252000000005</v>
      </c>
      <c r="E10" s="33">
        <f>C32*'E Balans VL '!I20/100/3.6*1000000</f>
        <v>0.5422638486729825</v>
      </c>
      <c r="F10" s="33">
        <f>C32*'E Balans VL '!L20/100/3.6*1000000+C32*'E Balans VL '!N20/100/3.6*1000000</f>
        <v>16.297535669403519</v>
      </c>
      <c r="G10" s="34"/>
      <c r="H10" s="33"/>
      <c r="I10" s="33"/>
      <c r="J10" s="40">
        <f>C32*'E Balans VL '!D20/100/3.6*1000000+C32*'E Balans VL '!E20/100/3.6*1000000</f>
        <v>0</v>
      </c>
      <c r="K10" s="33"/>
      <c r="L10" s="33"/>
      <c r="M10" s="33"/>
      <c r="N10" s="33">
        <f>C32*'E Balans VL '!Y20/100/3.6*1000000</f>
        <v>17.689095947136604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69.209000000000003</v>
      </c>
      <c r="C13" s="33"/>
      <c r="D13" s="37">
        <f>IF( ISERROR(IND_papier_gas_kWh/1000),0,IND_papier_gas_kWh/1000)*0.902</f>
        <v>0</v>
      </c>
      <c r="E13" s="33">
        <f>C35*'E Balans VL '!I23/100/3.6*1000000</f>
        <v>9.8191743024572287E-2</v>
      </c>
      <c r="F13" s="33">
        <f>C35*'E Balans VL '!L23/100/3.6*1000000+C35*'E Balans VL '!N23/100/3.6*1000000</f>
        <v>1.6896519326189892</v>
      </c>
      <c r="G13" s="34"/>
      <c r="H13" s="33"/>
      <c r="I13" s="33"/>
      <c r="J13" s="40">
        <f>C35*'E Balans VL '!D23/100/3.6*1000000+C35*'E Balans VL '!E23/100/3.6*1000000</f>
        <v>1.0703821623687555E-2</v>
      </c>
      <c r="K13" s="33"/>
      <c r="L13" s="33"/>
      <c r="M13" s="33"/>
      <c r="N13" s="33">
        <f>C35*'E Balans VL '!Y23/100/3.6*1000000</f>
        <v>201.17418010441531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3506.1179999999999</v>
      </c>
      <c r="C15" s="33"/>
      <c r="D15" s="37">
        <f>IF( ISERROR(IND_rest_gas_kWh/1000),0,IND_rest_gas_kWh/1000)*0.902</f>
        <v>2993.628858</v>
      </c>
      <c r="E15" s="33">
        <f>C37*'E Balans VL '!I15/100/3.6*1000000</f>
        <v>193.59360555180697</v>
      </c>
      <c r="F15" s="33">
        <f>C37*'E Balans VL '!L15/100/3.6*1000000+C37*'E Balans VL '!N15/100/3.6*1000000</f>
        <v>694.45703589618188</v>
      </c>
      <c r="G15" s="34"/>
      <c r="H15" s="33"/>
      <c r="I15" s="33"/>
      <c r="J15" s="40">
        <f>C37*'E Balans VL '!D15/100/3.6*1000000+C37*'E Balans VL '!E15/100/3.6*1000000</f>
        <v>12.551835768965208</v>
      </c>
      <c r="K15" s="33"/>
      <c r="L15" s="33"/>
      <c r="M15" s="33"/>
      <c r="N15" s="33">
        <f>C37*'E Balans VL '!Y15/100/3.6*1000000</f>
        <v>786.47730150659595</v>
      </c>
      <c r="O15" s="33"/>
      <c r="P15" s="33"/>
      <c r="R15" s="32"/>
    </row>
    <row r="16" spans="1:18">
      <c r="A16" s="16" t="s">
        <v>488</v>
      </c>
      <c r="B16" s="247">
        <f>'lokale energieproductie'!N89+'lokale energieproductie'!N58</f>
        <v>3645.0000000000005</v>
      </c>
      <c r="C16" s="247">
        <f>'lokale energieproductie'!O89+'lokale energieproductie'!O58</f>
        <v>5207.1428571428578</v>
      </c>
      <c r="D16" s="310">
        <f>('lokale energieproductie'!P58+'lokale energieproductie'!P89)*(-1)</f>
        <v>-10414.285714285716</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24685.564649999997</v>
      </c>
      <c r="C18" s="21">
        <f>C5+C16</f>
        <v>5207.1428571428578</v>
      </c>
      <c r="D18" s="21">
        <f>MAX((D5+D16),0)</f>
        <v>9702.2496169142851</v>
      </c>
      <c r="E18" s="21">
        <f>MAX((E5+E16),0)</f>
        <v>613.70239850933183</v>
      </c>
      <c r="F18" s="21">
        <f>MAX((F5+F16),0)</f>
        <v>2981.030880215164</v>
      </c>
      <c r="G18" s="21"/>
      <c r="H18" s="21"/>
      <c r="I18" s="21"/>
      <c r="J18" s="21">
        <f>MAX((J5+J16),0)</f>
        <v>12.562539590588896</v>
      </c>
      <c r="K18" s="21"/>
      <c r="L18" s="21">
        <f>MAX((L5+L16),0)</f>
        <v>0</v>
      </c>
      <c r="M18" s="21"/>
      <c r="N18" s="21">
        <f>MAX((N5+N16),0)</f>
        <v>1542.5749349563489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0.21004917792496919</v>
      </c>
      <c r="C20" s="25">
        <f ca="1">'EF ele_warmte'!B22</f>
        <v>0.23764448957884193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5185.1825613461788</v>
      </c>
      <c r="C22" s="23">
        <f ca="1">C18*C20</f>
        <v>1237.4488064498271</v>
      </c>
      <c r="D22" s="23">
        <f>D18*D20</f>
        <v>1959.8544226166857</v>
      </c>
      <c r="E22" s="23">
        <f>E18*E20</f>
        <v>139.31044446161832</v>
      </c>
      <c r="F22" s="23">
        <f>F18*F20</f>
        <v>795.93524501744878</v>
      </c>
      <c r="G22" s="23"/>
      <c r="H22" s="23"/>
      <c r="I22" s="23"/>
      <c r="J22" s="23">
        <f>J18*J20</f>
        <v>4.4471390150684691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16286.17815</v>
      </c>
      <c r="C30" s="39">
        <f>IF(ISERROR(B30*3.6/1000000/'E Balans VL '!Z18*100),0,B30*3.6/1000000/'E Balans VL '!Z18*100)</f>
        <v>0.92297947625261489</v>
      </c>
      <c r="D30" s="237" t="s">
        <v>754</v>
      </c>
    </row>
    <row r="31" spans="1:18">
      <c r="A31" s="6" t="s">
        <v>33</v>
      </c>
      <c r="B31" s="37">
        <f>IF( ISERROR(IND_ander_ele_kWh/1000),0,IND_ander_ele_kWh/1000)</f>
        <v>922.73244999999997</v>
      </c>
      <c r="C31" s="39">
        <f>IF(ISERROR(B31*3.6/1000000/'E Balans VL '!Z19*100),0,B31*3.6/1000000/'E Balans VL '!Z19*100)</f>
        <v>4.1851301740950357E-2</v>
      </c>
      <c r="D31" s="237" t="s">
        <v>754</v>
      </c>
    </row>
    <row r="32" spans="1:18">
      <c r="A32" s="171" t="s">
        <v>41</v>
      </c>
      <c r="B32" s="37">
        <f>IF( ISERROR(IND_voed_ele_kWh/1000),0,IND_voed_ele_kWh/1000)</f>
        <v>256.32704999999999</v>
      </c>
      <c r="C32" s="39">
        <f>IF(ISERROR(B32*3.6/1000000/'E Balans VL '!Z20*100),0,B32*3.6/1000000/'E Balans VL '!Z20*100)</f>
        <v>7.9293592830556175E-3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69.209000000000003</v>
      </c>
      <c r="C35" s="39">
        <f>IF(ISERROR(B35*3.6/1000000/'E Balans VL '!Z22*100),0,B35*3.6/1000000/'E Balans VL '!Z22*100)</f>
        <v>1.2448539804068431E-2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3506.1179999999999</v>
      </c>
      <c r="C37" s="39">
        <f>IF(ISERROR(B37*3.6/1000000/'E Balans VL '!Z15*100),0,B37*3.6/1000000/'E Balans VL '!Z15*100)</f>
        <v>2.7790291072417945E-2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1287.7813000000001</v>
      </c>
      <c r="C5" s="17">
        <f>'Eigen informatie GS &amp; warmtenet'!B60</f>
        <v>0</v>
      </c>
      <c r="D5" s="30">
        <f>IF(ISERROR(SUM(LB_lb_gas_kWh,LB_rest_gas_kWh,onbekend_gas_kWh)/1000),0,SUM(LB_lb_gas_kWh,LB_rest_gas_kWh,onbekend_gas_kWh)/1000)*0.902</f>
        <v>1522.1667626000001</v>
      </c>
      <c r="E5" s="17">
        <f>B17*'E Balans VL '!I25/3.6*1000000/100</f>
        <v>37.851825745081982</v>
      </c>
      <c r="F5" s="17">
        <f>B17*('E Balans VL '!L25/3.6*1000000+'E Balans VL '!N25/3.6*1000000)/100</f>
        <v>5364.8273077510639</v>
      </c>
      <c r="G5" s="18"/>
      <c r="H5" s="17"/>
      <c r="I5" s="17"/>
      <c r="J5" s="17">
        <f>('E Balans VL '!D25+'E Balans VL '!E25)/3.6*1000000*landbouw!B17/100</f>
        <v>186.57185495001406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1287.7813000000001</v>
      </c>
      <c r="C8" s="21">
        <f>C5+C6</f>
        <v>0</v>
      </c>
      <c r="D8" s="21">
        <f>MAX((D5+D6),0)</f>
        <v>1522.1667626000001</v>
      </c>
      <c r="E8" s="21">
        <f>MAX((E5+E6),0)</f>
        <v>37.851825745081982</v>
      </c>
      <c r="F8" s="21">
        <f>MAX((F5+F6),0)</f>
        <v>5364.8273077510639</v>
      </c>
      <c r="G8" s="21"/>
      <c r="H8" s="21"/>
      <c r="I8" s="21"/>
      <c r="J8" s="21">
        <f>MAX((J5+J6),0)</f>
        <v>186.57185495001406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0.21004917792496919</v>
      </c>
      <c r="C10" s="31">
        <f ca="1">'EF ele_warmte'!B22</f>
        <v>0.23764448957884193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270.49740341214812</v>
      </c>
      <c r="C12" s="23">
        <f ca="1">C8*C10</f>
        <v>0</v>
      </c>
      <c r="D12" s="23">
        <f>D8*D10</f>
        <v>307.47768604520002</v>
      </c>
      <c r="E12" s="23">
        <f>E8*E10</f>
        <v>8.5923644441336098</v>
      </c>
      <c r="F12" s="23">
        <f>F8*F10</f>
        <v>1432.4088911695342</v>
      </c>
      <c r="G12" s="23"/>
      <c r="H12" s="23"/>
      <c r="I12" s="23"/>
      <c r="J12" s="23">
        <f>J8*J10</f>
        <v>66.046436652304976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0.18274020676061248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83.283470938134045</v>
      </c>
      <c r="C26" s="247">
        <f>B26*'GWP N2O_CH4'!B5</f>
        <v>1748.9528897008149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23.647899894870211</v>
      </c>
      <c r="C27" s="247">
        <f>B27*'GWP N2O_CH4'!B5</f>
        <v>496.60589779227445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1.1267692549846016</v>
      </c>
      <c r="C28" s="247">
        <f>B28*'GWP N2O_CH4'!B4</f>
        <v>349.29846904522651</v>
      </c>
      <c r="D28" s="50"/>
    </row>
    <row r="29" spans="1:4">
      <c r="A29" s="41" t="s">
        <v>277</v>
      </c>
      <c r="B29" s="247">
        <f>B34*'ha_N2O bodem landbouw'!B4</f>
        <v>26.003360821998736</v>
      </c>
      <c r="C29" s="247">
        <f>B29*'GWP N2O_CH4'!B4</f>
        <v>8061.0418548196085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5.9338773280121623E-3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1.4637914694161816E-4</v>
      </c>
      <c r="C5" s="463" t="s">
        <v>211</v>
      </c>
      <c r="D5" s="448">
        <f>SUM(D6:D11)</f>
        <v>5.2667993778503057E-4</v>
      </c>
      <c r="E5" s="448">
        <f>SUM(E6:E11)</f>
        <v>7.6381124105651577E-4</v>
      </c>
      <c r="F5" s="461" t="s">
        <v>211</v>
      </c>
      <c r="G5" s="448">
        <f>SUM(G6:G11)</f>
        <v>0.25964218045951221</v>
      </c>
      <c r="H5" s="448">
        <f>SUM(H6:H11)</f>
        <v>6.0220448276981628E-2</v>
      </c>
      <c r="I5" s="463" t="s">
        <v>211</v>
      </c>
      <c r="J5" s="463" t="s">
        <v>211</v>
      </c>
      <c r="K5" s="463" t="s">
        <v>211</v>
      </c>
      <c r="L5" s="463" t="s">
        <v>211</v>
      </c>
      <c r="M5" s="448">
        <f>SUM(M6:M11)</f>
        <v>1.6957031814183007E-2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5.2825086591337145E-5</v>
      </c>
      <c r="C6" s="449"/>
      <c r="D6" s="962">
        <f>vkm_2011_GW_PW*SUMIFS(TableVerdeelsleutelVkm[CNG],TableVerdeelsleutelVkm[Voertuigtype],"Lichte voertuigen")*SUMIFS(TableECFTransport[EnergieConsumptieFactor (PJ per km)],TableECFTransport[Index],CONCATENATE($A6,"_CNG_CNG"))</f>
        <v>1.5844494093213981E-4</v>
      </c>
      <c r="E6" s="962">
        <f>vkm_2011_GW_PW*SUMIFS(TableVerdeelsleutelVkm[LPG],TableVerdeelsleutelVkm[Voertuigtype],"Lichte voertuigen")*SUMIFS(TableECFTransport[EnergieConsumptieFactor (PJ per km)],TableECFTransport[Index],CONCATENATE($A6,"_LPG_LPG"))</f>
        <v>2.1645854880742867E-4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5.5966258107499653E-2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1.8018136841520205E-2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3.8045779104005193E-3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1.9367067386874055E-2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5.9016561812331754E-6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1.1317471097298762E-3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3.4027330532140271E-5</v>
      </c>
      <c r="C8" s="449"/>
      <c r="D8" s="451">
        <f>vkm_2011_NGW_PW*SUMIFS(TableVerdeelsleutelVkm[CNG],TableVerdeelsleutelVkm[Voertuigtype],"Lichte voertuigen")*SUMIFS(TableECFTransport[EnergieConsumptieFactor (PJ per km)],TableECFTransport[Index],CONCATENATE($A8,"_CNG_CNG"))</f>
        <v>1.8146820021658908E-4</v>
      </c>
      <c r="E8" s="451">
        <f>vkm_2011_NGW_PW*SUMIFS(TableVerdeelsleutelVkm[LPG],TableVerdeelsleutelVkm[Voertuigtype],"Lichte voertuigen")*SUMIFS(TableECFTransport[EnergieConsumptieFactor (PJ per km)],TableECFTransport[Index],CONCATENATE($A8,"_LPG_LPG"))</f>
        <v>2.2959429911909455E-4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5.531962576907664E-2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2.0053973042749917E-2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3.8272003667244544E-3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5.3423159896615682E-3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1.5325691008206461E-6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3.1218437746358921E-4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5.9526729818140741E-5</v>
      </c>
      <c r="C10" s="449"/>
      <c r="D10" s="451">
        <f>vkm_2011_SW_PW*SUMIFS(TableVerdeelsleutelVkm[CNG],TableVerdeelsleutelVkm[Voertuigtype],"Lichte voertuigen")*SUMIFS(TableECFTransport[EnergieConsumptieFactor (PJ per km)],TableECFTransport[Index],CONCATENATE($A10,"_CNG_CNG"))</f>
        <v>1.8676679663630173E-4</v>
      </c>
      <c r="E10" s="451">
        <f>vkm_2011_SW_PW*SUMIFS(TableVerdeelsleutelVkm[LPG],TableVerdeelsleutelVkm[Voertuigtype],"Lichte voertuigen")*SUMIFS(TableECFTransport[EnergieConsumptieFactor (PJ per km)],TableECFTransport[Index],CONCATENATE($A10,"_LPG_LPG"))</f>
        <v>3.177583931299925E-4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7.3244029560887935E-2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2.2124318041740865E-2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4.9359084859756115E-3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5.0402883645512347E-2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1.6586125688584256E-5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2.9454135638889542E-3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40.660874150449487</v>
      </c>
      <c r="C14" s="21"/>
      <c r="D14" s="21">
        <f t="shared" ref="D14:M14" si="0">((D5)*10^9/3600)+D12</f>
        <v>146.29998271806406</v>
      </c>
      <c r="E14" s="21">
        <f t="shared" si="0"/>
        <v>212.16978918236549</v>
      </c>
      <c r="F14" s="21"/>
      <c r="G14" s="21">
        <f t="shared" si="0"/>
        <v>72122.827905420054</v>
      </c>
      <c r="H14" s="21">
        <f t="shared" si="0"/>
        <v>16727.902299161564</v>
      </c>
      <c r="I14" s="21"/>
      <c r="J14" s="21"/>
      <c r="K14" s="21"/>
      <c r="L14" s="21"/>
      <c r="M14" s="21">
        <f t="shared" si="0"/>
        <v>4710.2866150508353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0.21004917792496919</v>
      </c>
      <c r="C16" s="56">
        <f ca="1">'EF ele_warmte'!B22</f>
        <v>0.23764448957884193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8.5407831890125454</v>
      </c>
      <c r="C18" s="23"/>
      <c r="D18" s="23">
        <f t="shared" ref="D18:M18" si="1">D14*D16</f>
        <v>29.552596509048943</v>
      </c>
      <c r="E18" s="23">
        <f t="shared" si="1"/>
        <v>48.162542144396966</v>
      </c>
      <c r="F18" s="23"/>
      <c r="G18" s="23">
        <f t="shared" si="1"/>
        <v>19256.795050747154</v>
      </c>
      <c r="H18" s="23">
        <f t="shared" si="1"/>
        <v>4165.2476724912294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3.7500247404441541E-3</v>
      </c>
      <c r="H50" s="321">
        <f t="shared" si="2"/>
        <v>0</v>
      </c>
      <c r="I50" s="321">
        <f t="shared" si="2"/>
        <v>0</v>
      </c>
      <c r="J50" s="321">
        <f t="shared" si="2"/>
        <v>0</v>
      </c>
      <c r="K50" s="321">
        <f t="shared" si="2"/>
        <v>0</v>
      </c>
      <c r="L50" s="321">
        <f t="shared" si="2"/>
        <v>0</v>
      </c>
      <c r="M50" s="321">
        <f t="shared" si="2"/>
        <v>2.1298485048656723E-4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3.7500247404441541E-3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2.1298485048656723E-4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1041.6735390122651</v>
      </c>
      <c r="H54" s="21">
        <f t="shared" si="3"/>
        <v>0</v>
      </c>
      <c r="I54" s="21">
        <f t="shared" si="3"/>
        <v>0</v>
      </c>
      <c r="J54" s="21">
        <f t="shared" si="3"/>
        <v>0</v>
      </c>
      <c r="K54" s="21">
        <f t="shared" si="3"/>
        <v>0</v>
      </c>
      <c r="L54" s="21">
        <f t="shared" si="3"/>
        <v>0</v>
      </c>
      <c r="M54" s="21">
        <f t="shared" si="3"/>
        <v>59.162458468490904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0.21004917792496919</v>
      </c>
      <c r="C56" s="56">
        <f ca="1">'EF ele_warmte'!B22</f>
        <v>0.23764448957884193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278.12683491627479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3455.891866526571</v>
      </c>
      <c r="C6" s="1263"/>
      <c r="D6" s="1248"/>
      <c r="E6" s="1248"/>
      <c r="F6" s="1266"/>
      <c r="G6" s="1269"/>
      <c r="H6" s="1260"/>
      <c r="I6" s="1248"/>
      <c r="J6" s="1248"/>
      <c r="K6" s="1248"/>
      <c r="L6" s="1252"/>
      <c r="M6" s="575"/>
      <c r="N6" s="1226"/>
      <c r="O6" s="1227"/>
      <c r="Q6" s="573"/>
      <c r="R6" s="1214"/>
      <c r="S6" s="1214"/>
    </row>
    <row r="7" spans="1:19" s="563" customFormat="1">
      <c r="A7" s="576" t="s">
        <v>252</v>
      </c>
      <c r="B7" s="577">
        <f>N57</f>
        <v>3645.7083333333339</v>
      </c>
      <c r="C7" s="578">
        <f>B100</f>
        <v>4289.0222575659927</v>
      </c>
      <c r="D7" s="579"/>
      <c r="E7" s="579">
        <f>E100</f>
        <v>0</v>
      </c>
      <c r="F7" s="580"/>
      <c r="G7" s="581"/>
      <c r="H7" s="579">
        <f>I100</f>
        <v>0</v>
      </c>
      <c r="I7" s="579">
        <f>G100+F100</f>
        <v>0</v>
      </c>
      <c r="J7" s="579">
        <f>H100+D100+C100</f>
        <v>0</v>
      </c>
      <c r="K7" s="579"/>
      <c r="L7" s="582"/>
      <c r="M7" s="583">
        <f>C7*$C$11+D7*$D$11+E7*$E$11+F7*$F$11+G7*$G$11+H7*$H$11+I7*$I$11+J7*$J$11</f>
        <v>866.38249602833059</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7101.6001998599049</v>
      </c>
      <c r="C9" s="594">
        <f t="shared" ref="C9:L9" si="0">SUM(C7:C8)</f>
        <v>4289.0222575659927</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866.38249602833059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5208.1574967824972</v>
      </c>
      <c r="C16" s="610">
        <f>B101</f>
        <v>6127.1778711341358</v>
      </c>
      <c r="D16" s="611"/>
      <c r="E16" s="611">
        <f>E101</f>
        <v>0</v>
      </c>
      <c r="F16" s="612"/>
      <c r="G16" s="613"/>
      <c r="H16" s="610">
        <f>I101</f>
        <v>0</v>
      </c>
      <c r="I16" s="611">
        <f>G101+F101</f>
        <v>0</v>
      </c>
      <c r="J16" s="611">
        <f>H101+D101+C101</f>
        <v>0</v>
      </c>
      <c r="K16" s="611"/>
      <c r="L16" s="614"/>
      <c r="M16" s="615">
        <f>C16*$C$21+E16*$E$21+H16*$H$21+I16*$I$21+J16*$J$21+D16*$D$21+F16*$F$21+G16*$G$21+K16*$K$21+L16*$L$21</f>
        <v>1237.6899299690956</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5208.1574967824972</v>
      </c>
      <c r="C19" s="593">
        <f>SUM(C16:C18)</f>
        <v>6127.1778711341358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1237.6899299690956</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24059</v>
      </c>
      <c r="C27" s="851">
        <v>3400</v>
      </c>
      <c r="D27" s="672" t="s">
        <v>844</v>
      </c>
      <c r="E27" s="671" t="s">
        <v>845</v>
      </c>
      <c r="F27" s="671" t="s">
        <v>846</v>
      </c>
      <c r="G27" s="671" t="s">
        <v>847</v>
      </c>
      <c r="H27" s="671" t="s">
        <v>848</v>
      </c>
      <c r="I27" s="671" t="s">
        <v>845</v>
      </c>
      <c r="J27" s="850">
        <v>41906</v>
      </c>
      <c r="K27" s="850">
        <v>41906</v>
      </c>
      <c r="L27" s="671" t="s">
        <v>849</v>
      </c>
      <c r="M27" s="671">
        <v>810</v>
      </c>
      <c r="N27" s="671">
        <v>3645.0000000000005</v>
      </c>
      <c r="O27" s="671">
        <v>5207.1428571428578</v>
      </c>
      <c r="P27" s="671">
        <v>10414.285714285716</v>
      </c>
      <c r="Q27" s="671">
        <v>0</v>
      </c>
      <c r="R27" s="671">
        <v>0</v>
      </c>
      <c r="S27" s="671">
        <v>0</v>
      </c>
      <c r="T27" s="671">
        <v>0</v>
      </c>
      <c r="U27" s="671">
        <v>0</v>
      </c>
      <c r="V27" s="671">
        <v>0</v>
      </c>
      <c r="W27" s="671">
        <v>0</v>
      </c>
      <c r="X27" s="671">
        <v>800</v>
      </c>
      <c r="Y27" s="671" t="s">
        <v>36</v>
      </c>
      <c r="Z27" s="673" t="s">
        <v>389</v>
      </c>
    </row>
    <row r="28" spans="1:26" s="625" customFormat="1" ht="63.75">
      <c r="A28" s="624"/>
      <c r="B28" s="851">
        <v>24059</v>
      </c>
      <c r="C28" s="851">
        <v>3400</v>
      </c>
      <c r="D28" s="672"/>
      <c r="E28" s="671"/>
      <c r="F28" s="671" t="s">
        <v>850</v>
      </c>
      <c r="G28" s="671" t="s">
        <v>851</v>
      </c>
      <c r="H28" s="671" t="s">
        <v>851</v>
      </c>
      <c r="I28" s="671" t="s">
        <v>852</v>
      </c>
      <c r="J28" s="850">
        <v>42311</v>
      </c>
      <c r="K28" s="850">
        <v>42311</v>
      </c>
      <c r="L28" s="671" t="s">
        <v>849</v>
      </c>
      <c r="M28" s="671">
        <v>1.7</v>
      </c>
      <c r="N28" s="671">
        <v>0.70833333333333326</v>
      </c>
      <c r="O28" s="671">
        <v>1.0146396396396395</v>
      </c>
      <c r="P28" s="671">
        <v>1.9144144144144142</v>
      </c>
      <c r="Q28" s="671">
        <v>0</v>
      </c>
      <c r="R28" s="671">
        <v>0</v>
      </c>
      <c r="S28" s="671">
        <v>0</v>
      </c>
      <c r="T28" s="671">
        <v>0</v>
      </c>
      <c r="U28" s="671">
        <v>0</v>
      </c>
      <c r="V28" s="671">
        <v>0</v>
      </c>
      <c r="W28" s="671">
        <v>0</v>
      </c>
      <c r="X28" s="671">
        <v>1600</v>
      </c>
      <c r="Y28" s="671" t="s">
        <v>50</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811.7</v>
      </c>
      <c r="N57" s="629">
        <f>SUM(N27:N56)</f>
        <v>3645.7083333333339</v>
      </c>
      <c r="O57" s="629">
        <f t="shared" ref="O57:W57" si="2">SUM(O27:O56)</f>
        <v>5208.1574967824972</v>
      </c>
      <c r="P57" s="629">
        <f t="shared" si="2"/>
        <v>10416.200128700129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810</v>
      </c>
      <c r="N58" s="629">
        <f t="shared" ref="N58:W58" si="3">SUMIF($Z$27:$Z$56,"industrie",N27:N56)</f>
        <v>3645.0000000000005</v>
      </c>
      <c r="O58" s="629">
        <f t="shared" si="3"/>
        <v>5207.1428571428578</v>
      </c>
      <c r="P58" s="629">
        <f t="shared" si="3"/>
        <v>10414.285714285716</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1.7</v>
      </c>
      <c r="N59" s="629">
        <f ca="1">SUMIF($Z$27:AB56,"tertiair",N27:N56)</f>
        <v>0.70833333333333326</v>
      </c>
      <c r="O59" s="629">
        <f ca="1">SUMIF($Z$27:AC56,"tertiair",O27:O56)</f>
        <v>1.0146396396396395</v>
      </c>
      <c r="P59" s="629">
        <f ca="1">SUMIF($Z$27:AD56,"tertiair",P27:P56)</f>
        <v>1.9144144144144142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0.58823542130797801</v>
      </c>
      <c r="C97" s="654">
        <f>IF(ISERROR(N57/(O57+N57)),0,N57/(N57+O57))</f>
        <v>0.41176457869202188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4289.0222575659927</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6127.1778711341358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10925.842083333335</v>
      </c>
      <c r="D10" s="718">
        <f ca="1">tertiair!C16</f>
        <v>1.0146396396396395</v>
      </c>
      <c r="E10" s="718">
        <f ca="1">tertiair!D16</f>
        <v>11813.440817485587</v>
      </c>
      <c r="F10" s="718">
        <f>tertiair!E16</f>
        <v>149.29166332357875</v>
      </c>
      <c r="G10" s="718">
        <f ca="1">tertiair!F16</f>
        <v>1847.9268934308836</v>
      </c>
      <c r="H10" s="718">
        <f>tertiair!G16</f>
        <v>0</v>
      </c>
      <c r="I10" s="718">
        <f>tertiair!H16</f>
        <v>0</v>
      </c>
      <c r="J10" s="718">
        <f>tertiair!I16</f>
        <v>0</v>
      </c>
      <c r="K10" s="718">
        <f>tertiair!J16</f>
        <v>4.3843456772310413E-2</v>
      </c>
      <c r="L10" s="718">
        <f>tertiair!K16</f>
        <v>0</v>
      </c>
      <c r="M10" s="718">
        <f ca="1">tertiair!L16</f>
        <v>0</v>
      </c>
      <c r="N10" s="718">
        <f>tertiair!M16</f>
        <v>0</v>
      </c>
      <c r="O10" s="718">
        <f ca="1">tertiair!N16</f>
        <v>1732.0168824569462</v>
      </c>
      <c r="P10" s="718">
        <f>tertiair!O16</f>
        <v>0</v>
      </c>
      <c r="Q10" s="719">
        <f>tertiair!P16</f>
        <v>19.066666666666666</v>
      </c>
      <c r="R10" s="721">
        <f ca="1">SUM(C10:Q10)</f>
        <v>26488.643489793405</v>
      </c>
      <c r="S10" s="67"/>
    </row>
    <row r="11" spans="1:19" s="474" customFormat="1">
      <c r="A11" s="870" t="s">
        <v>225</v>
      </c>
      <c r="B11" s="875"/>
      <c r="C11" s="718">
        <f>huishoudens!B8</f>
        <v>27262.741849952985</v>
      </c>
      <c r="D11" s="718">
        <f>huishoudens!C8</f>
        <v>0</v>
      </c>
      <c r="E11" s="718">
        <f>huishoudens!D8</f>
        <v>31455.106261700003</v>
      </c>
      <c r="F11" s="718">
        <f>huishoudens!E8</f>
        <v>4968.0495035046806</v>
      </c>
      <c r="G11" s="718">
        <f>huishoudens!F8</f>
        <v>78796.178050714501</v>
      </c>
      <c r="H11" s="718">
        <f>huishoudens!G8</f>
        <v>0</v>
      </c>
      <c r="I11" s="718">
        <f>huishoudens!H8</f>
        <v>0</v>
      </c>
      <c r="J11" s="718">
        <f>huishoudens!I8</f>
        <v>0</v>
      </c>
      <c r="K11" s="718">
        <f>huishoudens!J8</f>
        <v>0</v>
      </c>
      <c r="L11" s="718">
        <f>huishoudens!K8</f>
        <v>0</v>
      </c>
      <c r="M11" s="718">
        <f>huishoudens!L8</f>
        <v>0</v>
      </c>
      <c r="N11" s="718">
        <f>huishoudens!M8</f>
        <v>0</v>
      </c>
      <c r="O11" s="718">
        <f>huishoudens!N8</f>
        <v>9212.3704609637007</v>
      </c>
      <c r="P11" s="718">
        <f>huishoudens!O8</f>
        <v>182.91000000000003</v>
      </c>
      <c r="Q11" s="719">
        <f>huishoudens!P8</f>
        <v>1449.0666666666666</v>
      </c>
      <c r="R11" s="721">
        <f>SUM(C11:Q11)</f>
        <v>153326.42279350254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24685.564649999997</v>
      </c>
      <c r="D13" s="718">
        <f>industrie!C18</f>
        <v>5207.1428571428578</v>
      </c>
      <c r="E13" s="718">
        <f>industrie!D18</f>
        <v>9702.2496169142851</v>
      </c>
      <c r="F13" s="718">
        <f>industrie!E18</f>
        <v>613.70239850933183</v>
      </c>
      <c r="G13" s="718">
        <f>industrie!F18</f>
        <v>2981.030880215164</v>
      </c>
      <c r="H13" s="718">
        <f>industrie!G18</f>
        <v>0</v>
      </c>
      <c r="I13" s="718">
        <f>industrie!H18</f>
        <v>0</v>
      </c>
      <c r="J13" s="718">
        <f>industrie!I18</f>
        <v>0</v>
      </c>
      <c r="K13" s="718">
        <f>industrie!J18</f>
        <v>12.562539590588896</v>
      </c>
      <c r="L13" s="718">
        <f>industrie!K18</f>
        <v>0</v>
      </c>
      <c r="M13" s="718">
        <f>industrie!L18</f>
        <v>0</v>
      </c>
      <c r="N13" s="718">
        <f>industrie!M18</f>
        <v>0</v>
      </c>
      <c r="O13" s="718">
        <f>industrie!N18</f>
        <v>1542.5749349563489</v>
      </c>
      <c r="P13" s="718">
        <f>industrie!O18</f>
        <v>0</v>
      </c>
      <c r="Q13" s="719">
        <f>industrie!P18</f>
        <v>0</v>
      </c>
      <c r="R13" s="721">
        <f>SUM(C13:Q13)</f>
        <v>44744.827877328571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62874.148583286311</v>
      </c>
      <c r="D15" s="723">
        <f t="shared" ref="D15:Q15" ca="1" si="0">SUM(D9:D14)</f>
        <v>5208.1574967824972</v>
      </c>
      <c r="E15" s="723">
        <f t="shared" ca="1" si="0"/>
        <v>52970.796696099875</v>
      </c>
      <c r="F15" s="723">
        <f t="shared" si="0"/>
        <v>5731.0435653375916</v>
      </c>
      <c r="G15" s="723">
        <f t="shared" ca="1" si="0"/>
        <v>83625.13582436055</v>
      </c>
      <c r="H15" s="723">
        <f t="shared" si="0"/>
        <v>0</v>
      </c>
      <c r="I15" s="723">
        <f t="shared" si="0"/>
        <v>0</v>
      </c>
      <c r="J15" s="723">
        <f t="shared" si="0"/>
        <v>0</v>
      </c>
      <c r="K15" s="723">
        <f t="shared" si="0"/>
        <v>12.606383047361206</v>
      </c>
      <c r="L15" s="723">
        <f t="shared" si="0"/>
        <v>0</v>
      </c>
      <c r="M15" s="723">
        <f t="shared" ca="1" si="0"/>
        <v>0</v>
      </c>
      <c r="N15" s="723">
        <f t="shared" si="0"/>
        <v>0</v>
      </c>
      <c r="O15" s="723">
        <f t="shared" ca="1" si="0"/>
        <v>12486.962278376996</v>
      </c>
      <c r="P15" s="723">
        <f t="shared" si="0"/>
        <v>182.91000000000003</v>
      </c>
      <c r="Q15" s="724">
        <f t="shared" si="0"/>
        <v>1468.1333333333332</v>
      </c>
      <c r="R15" s="725">
        <f ca="1">SUM(R9:R14)</f>
        <v>224559.89416062454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1041.6735390122651</v>
      </c>
      <c r="I18" s="718">
        <f>transport!H54</f>
        <v>0</v>
      </c>
      <c r="J18" s="718">
        <f>transport!I54</f>
        <v>0</v>
      </c>
      <c r="K18" s="718">
        <f>transport!J54</f>
        <v>0</v>
      </c>
      <c r="L18" s="718">
        <f>transport!K54</f>
        <v>0</v>
      </c>
      <c r="M18" s="718">
        <f>transport!L54</f>
        <v>0</v>
      </c>
      <c r="N18" s="718">
        <f>transport!M54</f>
        <v>59.162458468490904</v>
      </c>
      <c r="O18" s="718">
        <f>transport!N54</f>
        <v>0</v>
      </c>
      <c r="P18" s="718">
        <f>transport!O54</f>
        <v>0</v>
      </c>
      <c r="Q18" s="719">
        <f>transport!P54</f>
        <v>0</v>
      </c>
      <c r="R18" s="721">
        <f>SUM(C18:Q18)</f>
        <v>1100.8359974807561</v>
      </c>
      <c r="S18" s="67"/>
    </row>
    <row r="19" spans="1:19" s="474" customFormat="1" ht="15" thickBot="1">
      <c r="A19" s="870" t="s">
        <v>307</v>
      </c>
      <c r="B19" s="875"/>
      <c r="C19" s="727">
        <f>transport!B14</f>
        <v>40.660874150449487</v>
      </c>
      <c r="D19" s="727">
        <f>transport!C14</f>
        <v>0</v>
      </c>
      <c r="E19" s="727">
        <f>transport!D14</f>
        <v>146.29998271806406</v>
      </c>
      <c r="F19" s="727">
        <f>transport!E14</f>
        <v>212.16978918236549</v>
      </c>
      <c r="G19" s="727">
        <f>transport!F14</f>
        <v>0</v>
      </c>
      <c r="H19" s="727">
        <f>transport!G14</f>
        <v>72122.827905420054</v>
      </c>
      <c r="I19" s="727">
        <f>transport!H14</f>
        <v>16727.902299161564</v>
      </c>
      <c r="J19" s="727">
        <f>transport!I14</f>
        <v>0</v>
      </c>
      <c r="K19" s="727">
        <f>transport!J14</f>
        <v>0</v>
      </c>
      <c r="L19" s="727">
        <f>transport!K14</f>
        <v>0</v>
      </c>
      <c r="M19" s="727">
        <f>transport!L14</f>
        <v>0</v>
      </c>
      <c r="N19" s="727">
        <f>transport!M14</f>
        <v>4710.2866150508353</v>
      </c>
      <c r="O19" s="727">
        <f>transport!N14</f>
        <v>0</v>
      </c>
      <c r="P19" s="727">
        <f>transport!O14</f>
        <v>0</v>
      </c>
      <c r="Q19" s="728">
        <f>transport!P14</f>
        <v>0</v>
      </c>
      <c r="R19" s="729">
        <f>SUM(C19:Q19)</f>
        <v>93960.147465683331</v>
      </c>
      <c r="S19" s="67"/>
    </row>
    <row r="20" spans="1:19" s="474" customFormat="1" ht="15.75" thickBot="1">
      <c r="A20" s="730" t="s">
        <v>230</v>
      </c>
      <c r="B20" s="878"/>
      <c r="C20" s="873">
        <f>SUM(C17:C19)</f>
        <v>40.660874150449487</v>
      </c>
      <c r="D20" s="731">
        <f t="shared" ref="D20:R20" si="1">SUM(D17:D19)</f>
        <v>0</v>
      </c>
      <c r="E20" s="731">
        <f t="shared" si="1"/>
        <v>146.29998271806406</v>
      </c>
      <c r="F20" s="731">
        <f t="shared" si="1"/>
        <v>212.16978918236549</v>
      </c>
      <c r="G20" s="731">
        <f t="shared" si="1"/>
        <v>0</v>
      </c>
      <c r="H20" s="731">
        <f t="shared" si="1"/>
        <v>73164.501444432317</v>
      </c>
      <c r="I20" s="731">
        <f t="shared" si="1"/>
        <v>16727.902299161564</v>
      </c>
      <c r="J20" s="731">
        <f t="shared" si="1"/>
        <v>0</v>
      </c>
      <c r="K20" s="731">
        <f t="shared" si="1"/>
        <v>0</v>
      </c>
      <c r="L20" s="731">
        <f t="shared" si="1"/>
        <v>0</v>
      </c>
      <c r="M20" s="731">
        <f t="shared" si="1"/>
        <v>0</v>
      </c>
      <c r="N20" s="731">
        <f t="shared" si="1"/>
        <v>4769.4490735193258</v>
      </c>
      <c r="O20" s="731">
        <f t="shared" si="1"/>
        <v>0</v>
      </c>
      <c r="P20" s="731">
        <f t="shared" si="1"/>
        <v>0</v>
      </c>
      <c r="Q20" s="732">
        <f t="shared" si="1"/>
        <v>0</v>
      </c>
      <c r="R20" s="733">
        <f t="shared" si="1"/>
        <v>95060.983463164084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1287.7813000000001</v>
      </c>
      <c r="D22" s="727">
        <f>+landbouw!C8</f>
        <v>0</v>
      </c>
      <c r="E22" s="727">
        <f>+landbouw!D8</f>
        <v>1522.1667626000001</v>
      </c>
      <c r="F22" s="727">
        <f>+landbouw!E8</f>
        <v>37.851825745081982</v>
      </c>
      <c r="G22" s="727">
        <f>+landbouw!F8</f>
        <v>5364.8273077510639</v>
      </c>
      <c r="H22" s="727">
        <f>+landbouw!G8</f>
        <v>0</v>
      </c>
      <c r="I22" s="727">
        <f>+landbouw!H8</f>
        <v>0</v>
      </c>
      <c r="J22" s="727">
        <f>+landbouw!I8</f>
        <v>0</v>
      </c>
      <c r="K22" s="727">
        <f>+landbouw!J8</f>
        <v>186.57185495001406</v>
      </c>
      <c r="L22" s="727">
        <f>+landbouw!K8</f>
        <v>0</v>
      </c>
      <c r="M22" s="727">
        <f>+landbouw!L8</f>
        <v>0</v>
      </c>
      <c r="N22" s="727">
        <f>+landbouw!M8</f>
        <v>0</v>
      </c>
      <c r="O22" s="727">
        <f>+landbouw!N8</f>
        <v>0</v>
      </c>
      <c r="P22" s="727">
        <f>+landbouw!O8</f>
        <v>0</v>
      </c>
      <c r="Q22" s="728">
        <f>+landbouw!P8</f>
        <v>0</v>
      </c>
      <c r="R22" s="729">
        <f>SUM(C22:Q22)</f>
        <v>8399.1990510461601</v>
      </c>
      <c r="S22" s="67"/>
    </row>
    <row r="23" spans="1:19" s="474" customFormat="1" ht="17.25" thickTop="1" thickBot="1">
      <c r="A23" s="734" t="s">
        <v>116</v>
      </c>
      <c r="B23" s="864"/>
      <c r="C23" s="735">
        <f ca="1">C20+C15+C22</f>
        <v>64202.590757436759</v>
      </c>
      <c r="D23" s="735">
        <f t="shared" ref="D23:Q23" ca="1" si="2">D20+D15+D22</f>
        <v>5208.1574967824972</v>
      </c>
      <c r="E23" s="735">
        <f t="shared" ca="1" si="2"/>
        <v>54639.263441417934</v>
      </c>
      <c r="F23" s="735">
        <f t="shared" si="2"/>
        <v>5981.0651802650391</v>
      </c>
      <c r="G23" s="735">
        <f t="shared" ca="1" si="2"/>
        <v>88989.963132111618</v>
      </c>
      <c r="H23" s="735">
        <f t="shared" si="2"/>
        <v>73164.501444432317</v>
      </c>
      <c r="I23" s="735">
        <f t="shared" si="2"/>
        <v>16727.902299161564</v>
      </c>
      <c r="J23" s="735">
        <f t="shared" si="2"/>
        <v>0</v>
      </c>
      <c r="K23" s="735">
        <f t="shared" si="2"/>
        <v>199.17823799737528</v>
      </c>
      <c r="L23" s="735">
        <f t="shared" si="2"/>
        <v>0</v>
      </c>
      <c r="M23" s="735">
        <f t="shared" ca="1" si="2"/>
        <v>0</v>
      </c>
      <c r="N23" s="735">
        <f t="shared" si="2"/>
        <v>4769.4490735193258</v>
      </c>
      <c r="O23" s="735">
        <f t="shared" ca="1" si="2"/>
        <v>12486.962278376996</v>
      </c>
      <c r="P23" s="735">
        <f t="shared" si="2"/>
        <v>182.91000000000003</v>
      </c>
      <c r="Q23" s="736">
        <f t="shared" si="2"/>
        <v>1468.1333333333332</v>
      </c>
      <c r="R23" s="737">
        <f ca="1">R20+R15+R22</f>
        <v>328020.07667483477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2294.9641477421997</v>
      </c>
      <c r="D36" s="718">
        <f ca="1">tertiair!C20</f>
        <v>0.24112351926862224</v>
      </c>
      <c r="E36" s="718">
        <f ca="1">tertiair!D20</f>
        <v>2386.3150451320889</v>
      </c>
      <c r="F36" s="718">
        <f>tertiair!E20</f>
        <v>33.889207574452378</v>
      </c>
      <c r="G36" s="718">
        <f ca="1">tertiair!F20</f>
        <v>493.39648054604595</v>
      </c>
      <c r="H36" s="718">
        <f>tertiair!G20</f>
        <v>0</v>
      </c>
      <c r="I36" s="718">
        <f>tertiair!H20</f>
        <v>0</v>
      </c>
      <c r="J36" s="718">
        <f>tertiair!I20</f>
        <v>0</v>
      </c>
      <c r="K36" s="718">
        <f>tertiair!J20</f>
        <v>1.5520583697397885E-2</v>
      </c>
      <c r="L36" s="718">
        <f>tertiair!K20</f>
        <v>0</v>
      </c>
      <c r="M36" s="718">
        <f ca="1">tertiair!L20</f>
        <v>0</v>
      </c>
      <c r="N36" s="718">
        <f>tertiair!M20</f>
        <v>0</v>
      </c>
      <c r="O36" s="718">
        <f ca="1">tertiair!N20</f>
        <v>0</v>
      </c>
      <c r="P36" s="718">
        <f>tertiair!O20</f>
        <v>0</v>
      </c>
      <c r="Q36" s="828">
        <f>tertiair!P20</f>
        <v>0</v>
      </c>
      <c r="R36" s="917">
        <f ca="1">SUM(C36:Q36)</f>
        <v>5208.8215250977528</v>
      </c>
    </row>
    <row r="37" spans="1:18">
      <c r="A37" s="885" t="s">
        <v>225</v>
      </c>
      <c r="B37" s="892"/>
      <c r="C37" s="718">
        <f ca="1">huishoudens!B12</f>
        <v>5726.5165135632778</v>
      </c>
      <c r="D37" s="718">
        <f ca="1">huishoudens!C12</f>
        <v>0</v>
      </c>
      <c r="E37" s="718">
        <f>huishoudens!D12</f>
        <v>6353.9314648634008</v>
      </c>
      <c r="F37" s="718">
        <f>huishoudens!E12</f>
        <v>1127.7472372955626</v>
      </c>
      <c r="G37" s="718">
        <f>huishoudens!F12</f>
        <v>21038.579539540773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34246.774755263017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5185.1825613461788</v>
      </c>
      <c r="D39" s="718">
        <f ca="1">industrie!C22</f>
        <v>1237.4488064498271</v>
      </c>
      <c r="E39" s="718">
        <f>industrie!D22</f>
        <v>1959.8544226166857</v>
      </c>
      <c r="F39" s="718">
        <f>industrie!E22</f>
        <v>139.31044446161832</v>
      </c>
      <c r="G39" s="718">
        <f>industrie!F22</f>
        <v>795.93524501744878</v>
      </c>
      <c r="H39" s="718">
        <f>industrie!G22</f>
        <v>0</v>
      </c>
      <c r="I39" s="718">
        <f>industrie!H22</f>
        <v>0</v>
      </c>
      <c r="J39" s="718">
        <f>industrie!I22</f>
        <v>0</v>
      </c>
      <c r="K39" s="718">
        <f>industrie!J22</f>
        <v>4.4471390150684691</v>
      </c>
      <c r="L39" s="718">
        <f>industrie!K22</f>
        <v>0</v>
      </c>
      <c r="M39" s="718">
        <f>industrie!L22</f>
        <v>0</v>
      </c>
      <c r="N39" s="718">
        <f>industrie!M22</f>
        <v>0</v>
      </c>
      <c r="O39" s="718">
        <f>industrie!N22</f>
        <v>0</v>
      </c>
      <c r="P39" s="718">
        <f>industrie!O22</f>
        <v>0</v>
      </c>
      <c r="Q39" s="828">
        <f>industrie!P22</f>
        <v>0</v>
      </c>
      <c r="R39" s="918">
        <f ca="1">SUM(C39:Q39)</f>
        <v>9322.1786189068262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13206.663222651656</v>
      </c>
      <c r="D41" s="763">
        <f t="shared" ref="D41:R41" ca="1" si="4">SUM(D35:D40)</f>
        <v>1237.6899299690956</v>
      </c>
      <c r="E41" s="763">
        <f t="shared" ca="1" si="4"/>
        <v>10700.100932612175</v>
      </c>
      <c r="F41" s="763">
        <f t="shared" si="4"/>
        <v>1300.9468893316334</v>
      </c>
      <c r="G41" s="763">
        <f t="shared" ca="1" si="4"/>
        <v>22327.911265104267</v>
      </c>
      <c r="H41" s="763">
        <f t="shared" si="4"/>
        <v>0</v>
      </c>
      <c r="I41" s="763">
        <f t="shared" si="4"/>
        <v>0</v>
      </c>
      <c r="J41" s="763">
        <f t="shared" si="4"/>
        <v>0</v>
      </c>
      <c r="K41" s="763">
        <f t="shared" si="4"/>
        <v>4.4626595987658666</v>
      </c>
      <c r="L41" s="763">
        <f t="shared" si="4"/>
        <v>0</v>
      </c>
      <c r="M41" s="763">
        <f t="shared" ca="1" si="4"/>
        <v>0</v>
      </c>
      <c r="N41" s="763">
        <f t="shared" si="4"/>
        <v>0</v>
      </c>
      <c r="O41" s="763">
        <f t="shared" ca="1" si="4"/>
        <v>0</v>
      </c>
      <c r="P41" s="763">
        <f t="shared" si="4"/>
        <v>0</v>
      </c>
      <c r="Q41" s="764">
        <f t="shared" si="4"/>
        <v>0</v>
      </c>
      <c r="R41" s="765">
        <f t="shared" ca="1" si="4"/>
        <v>48777.774899267592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278.12683491627479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278.12683491627479</v>
      </c>
    </row>
    <row r="45" spans="1:18" ht="15" thickBot="1">
      <c r="A45" s="888" t="s">
        <v>307</v>
      </c>
      <c r="B45" s="898"/>
      <c r="C45" s="727">
        <f ca="1">transport!B18</f>
        <v>8.5407831890125454</v>
      </c>
      <c r="D45" s="727">
        <f>transport!C18</f>
        <v>0</v>
      </c>
      <c r="E45" s="727">
        <f>transport!D18</f>
        <v>29.552596509048943</v>
      </c>
      <c r="F45" s="727">
        <f>transport!E18</f>
        <v>48.162542144396966</v>
      </c>
      <c r="G45" s="727">
        <f>transport!F18</f>
        <v>0</v>
      </c>
      <c r="H45" s="727">
        <f>transport!G18</f>
        <v>19256.795050747154</v>
      </c>
      <c r="I45" s="727">
        <f>transport!H18</f>
        <v>4165.2476724912294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23508.298645080842</v>
      </c>
    </row>
    <row r="46" spans="1:18" ht="15.75" thickBot="1">
      <c r="A46" s="886" t="s">
        <v>230</v>
      </c>
      <c r="B46" s="899"/>
      <c r="C46" s="763">
        <f t="shared" ref="C46:R46" ca="1" si="5">SUM(C43:C45)</f>
        <v>8.5407831890125454</v>
      </c>
      <c r="D46" s="763">
        <f t="shared" ca="1" si="5"/>
        <v>0</v>
      </c>
      <c r="E46" s="763">
        <f t="shared" si="5"/>
        <v>29.552596509048943</v>
      </c>
      <c r="F46" s="763">
        <f t="shared" si="5"/>
        <v>48.162542144396966</v>
      </c>
      <c r="G46" s="763">
        <f t="shared" si="5"/>
        <v>0</v>
      </c>
      <c r="H46" s="763">
        <f t="shared" si="5"/>
        <v>19534.921885663429</v>
      </c>
      <c r="I46" s="763">
        <f t="shared" si="5"/>
        <v>4165.2476724912294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23786.425479997117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270.49740341214812</v>
      </c>
      <c r="D48" s="718">
        <f ca="1">+landbouw!C12</f>
        <v>0</v>
      </c>
      <c r="E48" s="718">
        <f>+landbouw!D12</f>
        <v>307.47768604520002</v>
      </c>
      <c r="F48" s="718">
        <f>+landbouw!E12</f>
        <v>8.5923644441336098</v>
      </c>
      <c r="G48" s="718">
        <f>+landbouw!F12</f>
        <v>1432.4088911695342</v>
      </c>
      <c r="H48" s="718">
        <f>+landbouw!G12</f>
        <v>0</v>
      </c>
      <c r="I48" s="718">
        <f>+landbouw!H12</f>
        <v>0</v>
      </c>
      <c r="J48" s="718">
        <f>+landbouw!I12</f>
        <v>0</v>
      </c>
      <c r="K48" s="718">
        <f>+landbouw!J12</f>
        <v>66.046436652304976</v>
      </c>
      <c r="L48" s="718">
        <f>+landbouw!K12</f>
        <v>0</v>
      </c>
      <c r="M48" s="718">
        <f>+landbouw!L12</f>
        <v>0</v>
      </c>
      <c r="N48" s="718">
        <f>+landbouw!M12</f>
        <v>0</v>
      </c>
      <c r="O48" s="718">
        <f>+landbouw!N12</f>
        <v>0</v>
      </c>
      <c r="P48" s="718">
        <f>+landbouw!O12</f>
        <v>0</v>
      </c>
      <c r="Q48" s="719">
        <f>+landbouw!P12</f>
        <v>0</v>
      </c>
      <c r="R48" s="761">
        <f ca="1">SUM(C48:Q48)</f>
        <v>2085.0227817233208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13485.701409252817</v>
      </c>
      <c r="D53" s="773">
        <f t="shared" ref="D53:Q53" ca="1" si="6">D41+D46+D48</f>
        <v>1237.6899299690956</v>
      </c>
      <c r="E53" s="773">
        <f t="shared" ca="1" si="6"/>
        <v>11037.131215166424</v>
      </c>
      <c r="F53" s="773">
        <f t="shared" si="6"/>
        <v>1357.7017959201639</v>
      </c>
      <c r="G53" s="773">
        <f t="shared" ca="1" si="6"/>
        <v>23760.3201562738</v>
      </c>
      <c r="H53" s="773">
        <f t="shared" si="6"/>
        <v>19534.921885663429</v>
      </c>
      <c r="I53" s="773">
        <f t="shared" si="6"/>
        <v>4165.2476724912294</v>
      </c>
      <c r="J53" s="773">
        <f t="shared" si="6"/>
        <v>0</v>
      </c>
      <c r="K53" s="773">
        <f t="shared" si="6"/>
        <v>70.509096251070844</v>
      </c>
      <c r="L53" s="773">
        <f t="shared" si="6"/>
        <v>0</v>
      </c>
      <c r="M53" s="773">
        <f t="shared" ca="1" si="6"/>
        <v>0</v>
      </c>
      <c r="N53" s="773">
        <f t="shared" si="6"/>
        <v>0</v>
      </c>
      <c r="O53" s="773">
        <f t="shared" ca="1" si="6"/>
        <v>0</v>
      </c>
      <c r="P53" s="773">
        <f>P41+P46+P48</f>
        <v>0</v>
      </c>
      <c r="Q53" s="774">
        <f t="shared" si="6"/>
        <v>0</v>
      </c>
      <c r="R53" s="775">
        <f ca="1">R41+R46+R48</f>
        <v>74649.22316098804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0.21004917792496919</v>
      </c>
      <c r="D55" s="836">
        <f t="shared" ca="1" si="7"/>
        <v>0.23764448957884193</v>
      </c>
      <c r="E55" s="836">
        <f t="shared" ca="1" si="7"/>
        <v>0.20200000000000004</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3455.891866526571</v>
      </c>
      <c r="C66" s="795">
        <f>'lokale energieproductie'!B6</f>
        <v>3455.891866526571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3645.7083333333339</v>
      </c>
      <c r="C67" s="794">
        <f>B67*IFERROR(SUM(J67:L67)/SUM(D67:M67),0)</f>
        <v>0</v>
      </c>
      <c r="D67" s="826">
        <f>'lokale energieproductie'!C7</f>
        <v>4289.0222575659927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866.38249602833059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7101.6001998599049</v>
      </c>
      <c r="C69" s="803">
        <f>SUM(C64:C68)</f>
        <v>3455.891866526571</v>
      </c>
      <c r="D69" s="804">
        <f t="shared" ref="D69:M69" si="8">SUM(D67:D68)</f>
        <v>4289.0222575659927</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866.38249602833059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5208.1574967824972</v>
      </c>
      <c r="C78" s="817">
        <f>B78*IFERROR(SUM(I78:L78)/SUM(D78:M78),0)</f>
        <v>0</v>
      </c>
      <c r="D78" s="832">
        <f>'lokale energieproductie'!C16</f>
        <v>6127.1778711341358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1237.6899299690956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5208.1574967824972</v>
      </c>
      <c r="C81" s="803">
        <f>SUM(C78:C80)</f>
        <v>0</v>
      </c>
      <c r="D81" s="803">
        <f t="shared" ref="D81:P81" si="9">SUM(D78:D80)</f>
        <v>6127.1778711341358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1237.6899299690956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27262.741849952985</v>
      </c>
      <c r="C4" s="478">
        <f>huishoudens!C8</f>
        <v>0</v>
      </c>
      <c r="D4" s="478">
        <f>huishoudens!D8</f>
        <v>31455.106261700003</v>
      </c>
      <c r="E4" s="478">
        <f>huishoudens!E8</f>
        <v>4968.0495035046806</v>
      </c>
      <c r="F4" s="478">
        <f>huishoudens!F8</f>
        <v>78796.178050714501</v>
      </c>
      <c r="G4" s="478">
        <f>huishoudens!G8</f>
        <v>0</v>
      </c>
      <c r="H4" s="478">
        <f>huishoudens!H8</f>
        <v>0</v>
      </c>
      <c r="I4" s="478">
        <f>huishoudens!I8</f>
        <v>0</v>
      </c>
      <c r="J4" s="478">
        <f>huishoudens!J8</f>
        <v>0</v>
      </c>
      <c r="K4" s="478">
        <f>huishoudens!K8</f>
        <v>0</v>
      </c>
      <c r="L4" s="478">
        <f>huishoudens!L8</f>
        <v>0</v>
      </c>
      <c r="M4" s="478">
        <f>huishoudens!M8</f>
        <v>0</v>
      </c>
      <c r="N4" s="478">
        <f>huishoudens!N8</f>
        <v>9212.3704609637007</v>
      </c>
      <c r="O4" s="478">
        <f>huishoudens!O8</f>
        <v>182.91000000000003</v>
      </c>
      <c r="P4" s="479">
        <f>huishoudens!P8</f>
        <v>1449.0666666666666</v>
      </c>
      <c r="Q4" s="480">
        <f>SUM(B4:P4)</f>
        <v>153326.42279350254</v>
      </c>
    </row>
    <row r="5" spans="1:17">
      <c r="A5" s="477" t="s">
        <v>156</v>
      </c>
      <c r="B5" s="478">
        <f ca="1">tertiair!B16</f>
        <v>9944.7950833333343</v>
      </c>
      <c r="C5" s="478">
        <f ca="1">tertiair!C16</f>
        <v>1.0146396396396395</v>
      </c>
      <c r="D5" s="478">
        <f ca="1">tertiair!D16</f>
        <v>11813.440817485587</v>
      </c>
      <c r="E5" s="478">
        <f>tertiair!E16</f>
        <v>149.29166332357875</v>
      </c>
      <c r="F5" s="478">
        <f ca="1">tertiair!F16</f>
        <v>1847.9268934308836</v>
      </c>
      <c r="G5" s="478">
        <f>tertiair!G16</f>
        <v>0</v>
      </c>
      <c r="H5" s="478">
        <f>tertiair!H16</f>
        <v>0</v>
      </c>
      <c r="I5" s="478">
        <f>tertiair!I16</f>
        <v>0</v>
      </c>
      <c r="J5" s="478">
        <f>tertiair!J16</f>
        <v>4.3843456772310413E-2</v>
      </c>
      <c r="K5" s="478">
        <f>tertiair!K16</f>
        <v>0</v>
      </c>
      <c r="L5" s="478">
        <f ca="1">tertiair!L16</f>
        <v>0</v>
      </c>
      <c r="M5" s="478">
        <f>tertiair!M16</f>
        <v>0</v>
      </c>
      <c r="N5" s="478">
        <f ca="1">tertiair!N16</f>
        <v>1732.0168824569462</v>
      </c>
      <c r="O5" s="478">
        <f>tertiair!O16</f>
        <v>0</v>
      </c>
      <c r="P5" s="479">
        <f>tertiair!P16</f>
        <v>19.066666666666666</v>
      </c>
      <c r="Q5" s="477">
        <f t="shared" ref="Q5:Q13" ca="1" si="0">SUM(B5:P5)</f>
        <v>25507.596489793406</v>
      </c>
    </row>
    <row r="6" spans="1:17">
      <c r="A6" s="477" t="s">
        <v>194</v>
      </c>
      <c r="B6" s="478">
        <f>'openbare verlichting'!B8</f>
        <v>981.04700000000003</v>
      </c>
      <c r="C6" s="478"/>
      <c r="D6" s="478"/>
      <c r="E6" s="478"/>
      <c r="F6" s="478"/>
      <c r="G6" s="478"/>
      <c r="H6" s="478"/>
      <c r="I6" s="478"/>
      <c r="J6" s="478"/>
      <c r="K6" s="478"/>
      <c r="L6" s="478"/>
      <c r="M6" s="478"/>
      <c r="N6" s="478"/>
      <c r="O6" s="478"/>
      <c r="P6" s="479"/>
      <c r="Q6" s="477">
        <f t="shared" si="0"/>
        <v>981.04700000000003</v>
      </c>
    </row>
    <row r="7" spans="1:17">
      <c r="A7" s="477" t="s">
        <v>112</v>
      </c>
      <c r="B7" s="478">
        <f>landbouw!B8</f>
        <v>1287.7813000000001</v>
      </c>
      <c r="C7" s="478">
        <f>landbouw!C8</f>
        <v>0</v>
      </c>
      <c r="D7" s="478">
        <f>landbouw!D8</f>
        <v>1522.1667626000001</v>
      </c>
      <c r="E7" s="478">
        <f>landbouw!E8</f>
        <v>37.851825745081982</v>
      </c>
      <c r="F7" s="478">
        <f>landbouw!F8</f>
        <v>5364.8273077510639</v>
      </c>
      <c r="G7" s="478">
        <f>landbouw!G8</f>
        <v>0</v>
      </c>
      <c r="H7" s="478">
        <f>landbouw!H8</f>
        <v>0</v>
      </c>
      <c r="I7" s="478">
        <f>landbouw!I8</f>
        <v>0</v>
      </c>
      <c r="J7" s="478">
        <f>landbouw!J8</f>
        <v>186.57185495001406</v>
      </c>
      <c r="K7" s="478">
        <f>landbouw!K8</f>
        <v>0</v>
      </c>
      <c r="L7" s="478">
        <f>landbouw!L8</f>
        <v>0</v>
      </c>
      <c r="M7" s="478">
        <f>landbouw!M8</f>
        <v>0</v>
      </c>
      <c r="N7" s="478">
        <f>landbouw!N8</f>
        <v>0</v>
      </c>
      <c r="O7" s="478">
        <f>landbouw!O8</f>
        <v>0</v>
      </c>
      <c r="P7" s="479">
        <f>landbouw!P8</f>
        <v>0</v>
      </c>
      <c r="Q7" s="477">
        <f t="shared" si="0"/>
        <v>8399.1990510461601</v>
      </c>
    </row>
    <row r="8" spans="1:17">
      <c r="A8" s="477" t="s">
        <v>635</v>
      </c>
      <c r="B8" s="478">
        <f>industrie!B18</f>
        <v>24685.564649999997</v>
      </c>
      <c r="C8" s="478">
        <f>industrie!C18</f>
        <v>5207.1428571428578</v>
      </c>
      <c r="D8" s="478">
        <f>industrie!D18</f>
        <v>9702.2496169142851</v>
      </c>
      <c r="E8" s="478">
        <f>industrie!E18</f>
        <v>613.70239850933183</v>
      </c>
      <c r="F8" s="478">
        <f>industrie!F18</f>
        <v>2981.030880215164</v>
      </c>
      <c r="G8" s="478">
        <f>industrie!G18</f>
        <v>0</v>
      </c>
      <c r="H8" s="478">
        <f>industrie!H18</f>
        <v>0</v>
      </c>
      <c r="I8" s="478">
        <f>industrie!I18</f>
        <v>0</v>
      </c>
      <c r="J8" s="478">
        <f>industrie!J18</f>
        <v>12.562539590588896</v>
      </c>
      <c r="K8" s="478">
        <f>industrie!K18</f>
        <v>0</v>
      </c>
      <c r="L8" s="478">
        <f>industrie!L18</f>
        <v>0</v>
      </c>
      <c r="M8" s="478">
        <f>industrie!M18</f>
        <v>0</v>
      </c>
      <c r="N8" s="478">
        <f>industrie!N18</f>
        <v>1542.5749349563489</v>
      </c>
      <c r="O8" s="478">
        <f>industrie!O18</f>
        <v>0</v>
      </c>
      <c r="P8" s="479">
        <f>industrie!P18</f>
        <v>0</v>
      </c>
      <c r="Q8" s="477">
        <f t="shared" si="0"/>
        <v>44744.827877328571</v>
      </c>
    </row>
    <row r="9" spans="1:17" s="483" customFormat="1">
      <c r="A9" s="481" t="s">
        <v>561</v>
      </c>
      <c r="B9" s="482">
        <f>transport!B14</f>
        <v>40.660874150449487</v>
      </c>
      <c r="C9" s="482"/>
      <c r="D9" s="482">
        <f>transport!D14</f>
        <v>146.29998271806406</v>
      </c>
      <c r="E9" s="482">
        <f>transport!E14</f>
        <v>212.16978918236549</v>
      </c>
      <c r="F9" s="482"/>
      <c r="G9" s="482">
        <f>transport!G14</f>
        <v>72122.827905420054</v>
      </c>
      <c r="H9" s="482">
        <f>transport!H14</f>
        <v>16727.902299161564</v>
      </c>
      <c r="I9" s="482"/>
      <c r="J9" s="482"/>
      <c r="K9" s="482"/>
      <c r="L9" s="482"/>
      <c r="M9" s="482">
        <f>transport!M14</f>
        <v>4710.2866150508353</v>
      </c>
      <c r="N9" s="482"/>
      <c r="O9" s="482"/>
      <c r="P9" s="482"/>
      <c r="Q9" s="481">
        <f>SUM(B9:P9)</f>
        <v>93960.147465683331</v>
      </c>
    </row>
    <row r="10" spans="1:17">
      <c r="A10" s="477" t="s">
        <v>551</v>
      </c>
      <c r="B10" s="478">
        <f>transport!B54</f>
        <v>0</v>
      </c>
      <c r="C10" s="478"/>
      <c r="D10" s="478">
        <f>transport!D54</f>
        <v>0</v>
      </c>
      <c r="E10" s="478"/>
      <c r="F10" s="478"/>
      <c r="G10" s="478">
        <f>transport!G54</f>
        <v>1041.6735390122651</v>
      </c>
      <c r="H10" s="478"/>
      <c r="I10" s="478"/>
      <c r="J10" s="478"/>
      <c r="K10" s="478"/>
      <c r="L10" s="478"/>
      <c r="M10" s="478">
        <f>transport!M54</f>
        <v>59.162458468490904</v>
      </c>
      <c r="N10" s="478"/>
      <c r="O10" s="478"/>
      <c r="P10" s="479"/>
      <c r="Q10" s="477">
        <f t="shared" si="0"/>
        <v>1100.8359974807561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64202.590757436759</v>
      </c>
      <c r="C14" s="488">
        <f t="shared" ref="C14:Q14" ca="1" si="1">SUM(C4:C13)</f>
        <v>5208.1574967824972</v>
      </c>
      <c r="D14" s="488">
        <f t="shared" ca="1" si="1"/>
        <v>54639.263441417934</v>
      </c>
      <c r="E14" s="488">
        <f t="shared" si="1"/>
        <v>5981.0651802650391</v>
      </c>
      <c r="F14" s="488">
        <f t="shared" ca="1" si="1"/>
        <v>88989.963132111618</v>
      </c>
      <c r="G14" s="488">
        <f t="shared" si="1"/>
        <v>73164.501444432317</v>
      </c>
      <c r="H14" s="488">
        <f t="shared" si="1"/>
        <v>16727.902299161564</v>
      </c>
      <c r="I14" s="488">
        <f t="shared" si="1"/>
        <v>0</v>
      </c>
      <c r="J14" s="488">
        <f t="shared" si="1"/>
        <v>199.17823799737528</v>
      </c>
      <c r="K14" s="488">
        <f t="shared" si="1"/>
        <v>0</v>
      </c>
      <c r="L14" s="488">
        <f t="shared" ca="1" si="1"/>
        <v>0</v>
      </c>
      <c r="M14" s="488">
        <f t="shared" si="1"/>
        <v>4769.4490735193258</v>
      </c>
      <c r="N14" s="488">
        <f t="shared" ca="1" si="1"/>
        <v>12486.962278376996</v>
      </c>
      <c r="O14" s="488">
        <f t="shared" si="1"/>
        <v>182.91000000000003</v>
      </c>
      <c r="P14" s="489">
        <f t="shared" si="1"/>
        <v>1468.1333333333332</v>
      </c>
      <c r="Q14" s="489">
        <f t="shared" ca="1" si="1"/>
        <v>328020.07667483483</v>
      </c>
    </row>
    <row r="16" spans="1:17">
      <c r="A16" s="491" t="s">
        <v>556</v>
      </c>
      <c r="B16" s="841">
        <f ca="1">huishoudens!B10</f>
        <v>0.21004917792496919</v>
      </c>
      <c r="C16" s="841">
        <f ca="1">huishoudens!C10</f>
        <v>0.23764448957884193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5726.5165135632778</v>
      </c>
      <c r="C21" s="478">
        <f t="shared" ref="C21:C28" ca="1" si="3">C4*$C$16</f>
        <v>0</v>
      </c>
      <c r="D21" s="478">
        <f t="shared" ref="D21:D30" si="4">D4*$D$16</f>
        <v>6353.9314648634008</v>
      </c>
      <c r="E21" s="478">
        <f t="shared" ref="E21:E30" si="5">E4*$E$16</f>
        <v>1127.7472372955626</v>
      </c>
      <c r="F21" s="478">
        <f t="shared" ref="F21:F28" si="6">F4*$F$16</f>
        <v>21038.579539540773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34246.774755263017</v>
      </c>
    </row>
    <row r="22" spans="1:17">
      <c r="A22" s="477" t="s">
        <v>156</v>
      </c>
      <c r="B22" s="478">
        <f t="shared" ca="1" si="2"/>
        <v>2088.8960318864424</v>
      </c>
      <c r="C22" s="478">
        <f t="shared" ca="1" si="3"/>
        <v>0.24112351926862224</v>
      </c>
      <c r="D22" s="478">
        <f t="shared" ca="1" si="4"/>
        <v>2386.3150451320889</v>
      </c>
      <c r="E22" s="478">
        <f t="shared" si="5"/>
        <v>33.889207574452378</v>
      </c>
      <c r="F22" s="478">
        <f t="shared" ca="1" si="6"/>
        <v>493.39648054604595</v>
      </c>
      <c r="G22" s="478">
        <f t="shared" si="7"/>
        <v>0</v>
      </c>
      <c r="H22" s="478">
        <f t="shared" si="8"/>
        <v>0</v>
      </c>
      <c r="I22" s="478">
        <f t="shared" si="9"/>
        <v>0</v>
      </c>
      <c r="J22" s="478">
        <f t="shared" si="10"/>
        <v>1.5520583697397885E-2</v>
      </c>
      <c r="K22" s="478">
        <f t="shared" si="11"/>
        <v>0</v>
      </c>
      <c r="L22" s="478">
        <f t="shared" ca="1" si="12"/>
        <v>0</v>
      </c>
      <c r="M22" s="478">
        <f t="shared" si="13"/>
        <v>0</v>
      </c>
      <c r="N22" s="478">
        <f t="shared" ca="1" si="14"/>
        <v>0</v>
      </c>
      <c r="O22" s="478">
        <f t="shared" si="15"/>
        <v>0</v>
      </c>
      <c r="P22" s="479">
        <f t="shared" si="16"/>
        <v>0</v>
      </c>
      <c r="Q22" s="477">
        <f t="shared" ref="Q22:Q30" ca="1" si="17">SUM(B22:P22)</f>
        <v>5002.7534092419965</v>
      </c>
    </row>
    <row r="23" spans="1:17">
      <c r="A23" s="477" t="s">
        <v>194</v>
      </c>
      <c r="B23" s="478">
        <f t="shared" ca="1" si="2"/>
        <v>206.06811585575724</v>
      </c>
      <c r="C23" s="478"/>
      <c r="D23" s="478"/>
      <c r="E23" s="478"/>
      <c r="F23" s="478"/>
      <c r="G23" s="478"/>
      <c r="H23" s="478"/>
      <c r="I23" s="478"/>
      <c r="J23" s="478"/>
      <c r="K23" s="478"/>
      <c r="L23" s="478"/>
      <c r="M23" s="478"/>
      <c r="N23" s="478"/>
      <c r="O23" s="478"/>
      <c r="P23" s="479"/>
      <c r="Q23" s="477">
        <f t="shared" ca="1" si="17"/>
        <v>206.06811585575724</v>
      </c>
    </row>
    <row r="24" spans="1:17">
      <c r="A24" s="477" t="s">
        <v>112</v>
      </c>
      <c r="B24" s="478">
        <f t="shared" ca="1" si="2"/>
        <v>270.49740341214812</v>
      </c>
      <c r="C24" s="478">
        <f t="shared" ca="1" si="3"/>
        <v>0</v>
      </c>
      <c r="D24" s="478">
        <f t="shared" si="4"/>
        <v>307.47768604520002</v>
      </c>
      <c r="E24" s="478">
        <f t="shared" si="5"/>
        <v>8.5923644441336098</v>
      </c>
      <c r="F24" s="478">
        <f t="shared" si="6"/>
        <v>1432.4088911695342</v>
      </c>
      <c r="G24" s="478">
        <f t="shared" si="7"/>
        <v>0</v>
      </c>
      <c r="H24" s="478">
        <f t="shared" si="8"/>
        <v>0</v>
      </c>
      <c r="I24" s="478">
        <f t="shared" si="9"/>
        <v>0</v>
      </c>
      <c r="J24" s="478">
        <f t="shared" si="10"/>
        <v>66.046436652304976</v>
      </c>
      <c r="K24" s="478">
        <f t="shared" si="11"/>
        <v>0</v>
      </c>
      <c r="L24" s="478">
        <f t="shared" si="12"/>
        <v>0</v>
      </c>
      <c r="M24" s="478">
        <f t="shared" si="13"/>
        <v>0</v>
      </c>
      <c r="N24" s="478">
        <f t="shared" si="14"/>
        <v>0</v>
      </c>
      <c r="O24" s="478">
        <f t="shared" si="15"/>
        <v>0</v>
      </c>
      <c r="P24" s="479">
        <f t="shared" si="16"/>
        <v>0</v>
      </c>
      <c r="Q24" s="477">
        <f t="shared" ca="1" si="17"/>
        <v>2085.0227817233208</v>
      </c>
    </row>
    <row r="25" spans="1:17">
      <c r="A25" s="477" t="s">
        <v>635</v>
      </c>
      <c r="B25" s="478">
        <f t="shared" ca="1" si="2"/>
        <v>5185.1825613461788</v>
      </c>
      <c r="C25" s="478">
        <f t="shared" ca="1" si="3"/>
        <v>1237.4488064498271</v>
      </c>
      <c r="D25" s="478">
        <f t="shared" si="4"/>
        <v>1959.8544226166857</v>
      </c>
      <c r="E25" s="478">
        <f t="shared" si="5"/>
        <v>139.31044446161832</v>
      </c>
      <c r="F25" s="478">
        <f t="shared" si="6"/>
        <v>795.93524501744878</v>
      </c>
      <c r="G25" s="478">
        <f t="shared" si="7"/>
        <v>0</v>
      </c>
      <c r="H25" s="478">
        <f t="shared" si="8"/>
        <v>0</v>
      </c>
      <c r="I25" s="478">
        <f t="shared" si="9"/>
        <v>0</v>
      </c>
      <c r="J25" s="478">
        <f t="shared" si="10"/>
        <v>4.4471390150684691</v>
      </c>
      <c r="K25" s="478">
        <f t="shared" si="11"/>
        <v>0</v>
      </c>
      <c r="L25" s="478">
        <f t="shared" si="12"/>
        <v>0</v>
      </c>
      <c r="M25" s="478">
        <f t="shared" si="13"/>
        <v>0</v>
      </c>
      <c r="N25" s="478">
        <f t="shared" si="14"/>
        <v>0</v>
      </c>
      <c r="O25" s="478">
        <f t="shared" si="15"/>
        <v>0</v>
      </c>
      <c r="P25" s="479">
        <f t="shared" si="16"/>
        <v>0</v>
      </c>
      <c r="Q25" s="477">
        <f t="shared" ca="1" si="17"/>
        <v>9322.1786189068262</v>
      </c>
    </row>
    <row r="26" spans="1:17" s="483" customFormat="1">
      <c r="A26" s="481" t="s">
        <v>561</v>
      </c>
      <c r="B26" s="835">
        <f t="shared" ca="1" si="2"/>
        <v>8.5407831890125454</v>
      </c>
      <c r="C26" s="482"/>
      <c r="D26" s="482">
        <f t="shared" si="4"/>
        <v>29.552596509048943</v>
      </c>
      <c r="E26" s="482">
        <f t="shared" si="5"/>
        <v>48.162542144396966</v>
      </c>
      <c r="F26" s="482"/>
      <c r="G26" s="482">
        <f t="shared" si="7"/>
        <v>19256.795050747154</v>
      </c>
      <c r="H26" s="482">
        <f t="shared" si="8"/>
        <v>4165.2476724912294</v>
      </c>
      <c r="I26" s="482"/>
      <c r="J26" s="482"/>
      <c r="K26" s="482"/>
      <c r="L26" s="482"/>
      <c r="M26" s="482">
        <f t="shared" si="13"/>
        <v>0</v>
      </c>
      <c r="N26" s="482"/>
      <c r="O26" s="482"/>
      <c r="P26" s="493"/>
      <c r="Q26" s="481">
        <f t="shared" ca="1" si="17"/>
        <v>23508.298645080842</v>
      </c>
    </row>
    <row r="27" spans="1:17">
      <c r="A27" s="477" t="s">
        <v>551</v>
      </c>
      <c r="B27" s="478">
        <f t="shared" ca="1" si="2"/>
        <v>0</v>
      </c>
      <c r="C27" s="478"/>
      <c r="D27" s="482">
        <f t="shared" si="4"/>
        <v>0</v>
      </c>
      <c r="E27" s="478"/>
      <c r="F27" s="478"/>
      <c r="G27" s="478">
        <f t="shared" si="7"/>
        <v>278.12683491627479</v>
      </c>
      <c r="H27" s="478"/>
      <c r="I27" s="478"/>
      <c r="J27" s="478"/>
      <c r="K27" s="478"/>
      <c r="L27" s="478"/>
      <c r="M27" s="478">
        <f t="shared" si="13"/>
        <v>0</v>
      </c>
      <c r="N27" s="478"/>
      <c r="O27" s="478"/>
      <c r="P27" s="479"/>
      <c r="Q27" s="477">
        <f t="shared" ca="1" si="17"/>
        <v>278.12683491627479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13485.701409252819</v>
      </c>
      <c r="C31" s="488">
        <f t="shared" ca="1" si="18"/>
        <v>1237.6899299690956</v>
      </c>
      <c r="D31" s="488">
        <f t="shared" ca="1" si="18"/>
        <v>11037.131215166424</v>
      </c>
      <c r="E31" s="488">
        <f t="shared" si="18"/>
        <v>1357.7017959201639</v>
      </c>
      <c r="F31" s="488">
        <f t="shared" ca="1" si="18"/>
        <v>23760.3201562738</v>
      </c>
      <c r="G31" s="488">
        <f t="shared" si="18"/>
        <v>19534.921885663429</v>
      </c>
      <c r="H31" s="488">
        <f t="shared" si="18"/>
        <v>4165.2476724912294</v>
      </c>
      <c r="I31" s="488">
        <f t="shared" si="18"/>
        <v>0</v>
      </c>
      <c r="J31" s="488">
        <f t="shared" si="18"/>
        <v>70.509096251070844</v>
      </c>
      <c r="K31" s="488">
        <f t="shared" si="18"/>
        <v>0</v>
      </c>
      <c r="L31" s="488">
        <f t="shared" ca="1" si="18"/>
        <v>0</v>
      </c>
      <c r="M31" s="488">
        <f t="shared" si="18"/>
        <v>0</v>
      </c>
      <c r="N31" s="488">
        <f t="shared" ca="1" si="18"/>
        <v>0</v>
      </c>
      <c r="O31" s="488">
        <f t="shared" si="18"/>
        <v>0</v>
      </c>
      <c r="P31" s="489">
        <f t="shared" si="18"/>
        <v>0</v>
      </c>
      <c r="Q31" s="489">
        <f t="shared" ca="1" si="18"/>
        <v>74649.223160988025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0.21004917792496919</v>
      </c>
      <c r="C17" s="528">
        <f ca="1">'EF ele_warmte'!B22</f>
        <v>0.23764448957884193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0.21004917792496919</v>
      </c>
      <c r="C17" s="528">
        <f ca="1">'EF ele_warmte'!B22</f>
        <v>0.23764448957884193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0.21004917792496919</v>
      </c>
      <c r="C29" s="529">
        <f ca="1">'EF ele_warmte'!B22</f>
        <v>0.23764448957884193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2019-01-01T21:18:51Z</dcterms:modified>
</cp:coreProperties>
</file>