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D16"/>
  <c r="D27" s="1"/>
  <c r="H16"/>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J24" i="48" l="1"/>
  <c r="D28"/>
  <c r="D30"/>
  <c r="K28"/>
  <c r="K31" s="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<sst xmlns="http://schemas.openxmlformats.org/spreadsheetml/2006/main" count="2099" uniqueCount="844">
  <si>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</si>
  <si>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</si>
  <si>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</si>
  <si>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</si>
  <si>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</si>
  <si>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</si>
  <si>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</si>
  <si>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</si>
  <si>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</si>
  <si>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</si>
  <si>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</si>
  <si>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</si>
  <si>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</si>
  <si>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</si>
  <si>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</si>
  <si>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</si>
  <si>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</si>
  <si>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</si>
  <si>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</si>
  <si>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</si>
  <si>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</si>
  <si>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</si>
  <si>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</si>
  <si>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</si>
  <si>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</si>
  <si>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</si>
  <si>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</si>
  <si>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</si>
  <si>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</si>
  <si>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</si>
  <si>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</si>
  <si>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</si>
  <si>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</si>
  <si>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</si>
  <si>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</si>
  <si>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</si>
  <si>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</si>
  <si>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</si>
  <si>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</si>
  <si>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</si>
  <si>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</si>
  <si>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</si>
  <si>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</si>
  <si>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</si>
  <si>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</si>
  <si>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</si>
  <si>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</si>
  <si>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</si>
  <si>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</si>
  <si>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</si>
  <si>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</si>
  <si>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</si>
  <si>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</si>
  <si>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</si>
  <si>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</si>
  <si>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</si>
  <si>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</si>
  <si>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</si>
  <si>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</si>
  <si>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</si>
  <si>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</si>
  <si>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</si>
  <si>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</si>
  <si>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</si>
  <si>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</si>
  <si>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</si>
  <si>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</si>
  <si>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</si>
  <si>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</si>
  <si>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</si>
  <si>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</si>
  <si>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</si>
  <si>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</si>
  <si>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</si>
  <si>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</si>
  <si>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</si>
  <si>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</si>
  <si>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</si>
  <si>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</si>
  <si>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</si>
  <si>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</si>
  <si>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</si>
  <si>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</si>
  <si>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</si>
  <si>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</si>
  <si>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</si>
  <si>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</si>
  <si>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</si>
  <si>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</si>
  <si>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</si>
  <si>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</si>
  <si>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</si>
  <si>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</si>
  <si>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</si>
  <si>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</si>
  <si>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</si>
  <si>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</si>
  <si>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</si>
  <si>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</si>
  <si>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</si>
  <si>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</si>
  <si>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</si>
  <si>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</si>
  <si>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</si>
  <si>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</si>
  <si>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</si>
  <si>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</si>
  <si>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</si>
  <si>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</si>
  <si>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</si>
  <si>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</si>
  <si>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</si>
  <si>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</si>
  <si>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</si>
  <si>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</si>
  <si>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</si>
  <si>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</si>
  <si>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</si>
  <si>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</si>
  <si>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</si>
  <si>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</si>
  <si>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</si>
  <si>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</si>
  <si>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</si>
  <si>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</si>
  <si>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</si>
  <si>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</si>
  <si>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</si>
  <si>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</si>
  <si>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</si>
  <si>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</si>
  <si>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</si>
  <si>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</si>
  <si>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</si>
  <si>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</si>
  <si>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</si>
  <si>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</si>
  <si>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</si>
  <si>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</si>
  <si>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</si>
  <si>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</si>
  <si>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</si>
  <si>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</si>
  <si>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</si>
  <si>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</si>
  <si>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</si>
  <si>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</si>
  <si>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</si>
  <si>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</si>
  <si>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</si>
  <si>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</si>
  <si>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</si>
  <si>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</si>
  <si>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</si>
  <si>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</si>
  <si>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</si>
  <si>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</si>
  <si>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</si>
  <si>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</si>
  <si>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</si>
  <si>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</si>
  <si>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</si>
  <si>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</si>
  <si>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</si>
  <si>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</si>
  <si>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</si>
  <si>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</si>
  <si>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</si>
  <si>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</si>
  <si>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</si>
  <si>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</si>
  <si>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</si>
  <si>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</si>
  <si>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</si>
  <si>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</si>
  <si>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</si>
  <si>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</si>
  <si>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</si>
  <si>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</si>
  <si>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</si>
  <si>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</si>
  <si>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</si>
  <si>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</si>
  <si>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</si>
  <si>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</si>
  <si>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</si>
  <si>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</si>
  <si>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</si>
  <si>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</si>
  <si>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</si>
  <si>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</si>
  <si>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</si>
  <si>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</si>
  <si>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</si>
  <si>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</si>
  <si>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</si>
  <si>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</si>
  <si>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</si>
  <si>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</si>
  <si>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</si>
  <si>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</si>
  <si>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</si>
  <si>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</si>
  <si>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</si>
  <si>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</si>
  <si>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</si>
  <si>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</si>
  <si>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</si>
  <si>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</si>
  <si>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</si>
  <si>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</si>
  <si>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</si>
  <si>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</si>
  <si>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</si>
  <si>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</si>
  <si>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</si>
  <si>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</si>
  <si>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</si>
  <si>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</si>
  <si>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</si>
  <si>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</si>
  <si>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</si>
  <si>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</si>
  <si>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</si>
  <si>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</si>
  <si>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</si>
  <si>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</si>
  <si>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</si>
  <si>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</si>
  <si>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</si>
  <si>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</si>
  <si>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</si>
  <si>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</si>
  <si>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</si>
  <si>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</si>
  <si>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</si>
  <si>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</si>
  <si>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</si>
  <si>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</si>
  <si>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</si>
  <si>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</si>
  <si>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</si>
  <si>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</si>
  <si>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</si>
  <si>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</si>
  <si>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</si>
  <si>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</si>
  <si>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</si>
  <si>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</si>
  <si>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</si>
  <si>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</si>
  <si>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</si>
  <si>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</si>
  <si>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</si>
  <si>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</si>
  <si>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</si>
  <si>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</si>
  <si>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</si>
  <si>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</si>
  <si>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</si>
  <si>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</si>
  <si>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</si>
  <si>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</si>
  <si>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</si>
  <si>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</si>
  <si>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</si>
  <si>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</si>
  <si>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</si>
  <si>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</si>
  <si>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</si>
  <si>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</si>
  <si>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</si>
  <si>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</si>
  <si>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</si>
  <si>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</si>
  <si>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</si>
  <si>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</si>
  <si>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</si>
  <si>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</si>
  <si>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</si>
  <si>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</si>
  <si>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</si>
  <si>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</si>
  <si>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</si>
  <si>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</si>
  <si>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</si>
  <si>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</si>
  <si>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</si>
  <si>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</si>
  <si>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</si>
  <si>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</si>
  <si>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</si>
  <si>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</si>
  <si>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</si>
  <si>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</si>
  <si>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</si>
  <si>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</si>
  <si>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</si>
  <si>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</si>
  <si>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</si>
  <si>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</si>
  <si>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</si>
  <si>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</si>
  <si>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</si>
  <si>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</si>
  <si>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</si>
  <si>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</si>
  <si>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</si>
  <si>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</si>
  <si>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</si>
  <si>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</si>
  <si>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</si>
  <si>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</si>
  <si>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</si>
  <si>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</si>
  <si>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</si>
  <si>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</si>
  <si>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</si>
  <si>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</si>
  <si>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</si>
  <si>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</si>
  <si>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</si>
  <si>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</si>
  <si>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</si>
  <si>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</si>
  <si>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</si>
  <si>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</si>
  <si>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</si>
  <si>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</si>
  <si>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</si>
  <si>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</si>
  <si>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</si>
  <si>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</si>
  <si>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</si>
  <si>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</si>
  <si>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</si>
  <si>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</si>
  <si>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</si>
  <si>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</si>
  <si>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</si>
  <si>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</si>
  <si>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</si>
  <si>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</si>
  <si>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</si>
  <si>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</si>
  <si>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</si>
  <si>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</si>
  <si>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</si>
  <si>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</si>
  <si>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</si>
  <si>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</si>
  <si>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</si>
  <si>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</si>
  <si>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</si>
  <si>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</si>
  <si>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</si>
  <si>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</si>
  <si>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</si>
  <si>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</si>
  <si>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</si>
  <si>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</si>
  <si>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</si>
  <si>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</si>
  <si>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</si>
  <si>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</si>
  <si>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</si>
  <si>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</si>
  <si>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</si>
  <si>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</si>
  <si>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</si>
  <si>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</si>
  <si>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</si>
  <si>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</si>
  <si>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</si>
  <si>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</si>
  <si>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</si>
  <si>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</si>
  <si>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</si>
  <si>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</si>
  <si>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</si>
  <si>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</si>
  <si>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</si>
  <si>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</si>
  <si>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</si>
  <si>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</si>
  <si>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</si>
  <si>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</si>
  <si>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</si>
  <si>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</si>
  <si>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</si>
  <si>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</si>
  <si>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</si>
  <si>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</si>
  <si>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</si>
  <si>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</si>
  <si>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</si>
  <si>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</si>
  <si>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</si>
  <si>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</si>
  <si>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</si>
  <si>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</si>
  <si>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</si>
  <si>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</si>
  <si>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</si>
  <si>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</si>
  <si>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</si>
  <si>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</si>
  <si>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</si>
  <si>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</si>
  <si>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</si>
  <si>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</si>
  <si>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</si>
  <si>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</si>
  <si>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</si>
  <si>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</si>
  <si>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</si>
  <si>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</si>
  <si>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</si>
  <si>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</si>
  <si>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</si>
  <si>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</si>
  <si>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</si>
  <si>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</si>
  <si>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</si>
  <si>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</si>
  <si>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</si>
  <si>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</si>
  <si>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</si>
  <si>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</si>
  <si>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</si>
  <si>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</si>
  <si>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</si>
  <si>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</si>
  <si>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</si>
  <si>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</si>
  <si>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</si>
  <si>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</si>
  <si>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</si>
  <si>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</si>
  <si>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</si>
  <si>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</si>
  <si>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</si>
  <si>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</si>
  <si>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</si>
  <si>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</si>
  <si>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</si>
  <si>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</si>
  <si>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</si>
  <si>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</si>
  <si>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</si>
  <si>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</si>
  <si>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</si>
  <si>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</si>
  <si>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</si>
  <si>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</si>
  <si>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</si>
  <si>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</si>
  <si>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</si>
  <si>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</si>
  <si>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</si>
  <si>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</si>
  <si>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</si>
  <si>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</si>
  <si>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</si>
  <si>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</si>
  <si>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</si>
  <si>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</si>
  <si>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</si>
  <si>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</si>
  <si>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</si>
  <si>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</si>
  <si>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</si>
  <si>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</si>
  <si>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</si>
  <si>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</si>
  <si>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</si>
  <si>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</si>
  <si>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</si>
  <si>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</si>
  <si>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</si>
  <si>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</si>
  <si>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</si>
  <si>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</si>
  <si>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</si>
  <si>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</si>
  <si>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</si>
  <si>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</si>
  <si>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</si>
  <si>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</si>
  <si>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</si>
  <si>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</si>
  <si>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</si>
  <si>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</si>
  <si>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</si>
  <si>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</si>
  <si>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</si>
  <si>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</si>
  <si>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</si>
  <si>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</si>
  <si>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</si>
  <si>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</si>
  <si>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</si>
  <si>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</si>
  <si>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</si>
  <si>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</si>
  <si>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</si>
  <si>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</si>
  <si>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</si>
  <si>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</si>
  <si>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</si>
  <si>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</si>
  <si>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</si>
  <si>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</si>
  <si>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</si>
  <si>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</si>
  <si>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</si>
  <si>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</si>
  <si>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</si>
  <si>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</si>
  <si>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</si>
  <si>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</si>
  <si>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</si>
  <si>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</si>
  <si>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</si>
  <si>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</si>
  <si>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</si>
  <si>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</si>
  <si>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</si>
  <si>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</si>
  <si>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</si>
  <si>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</si>
  <si>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</si>
  <si>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</si>
  <si>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</si>
  <si>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</si>
  <si>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</si>
  <si>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</si>
  <si>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</si>
  <si>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</si>
  <si>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</si>
  <si>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</si>
  <si>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</si>
  <si>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</si>
  <si>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</si>
  <si>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</si>
  <si>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</si>
  <si>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</si>
  <si>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</si>
  <si>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</si>
  <si>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</si>
  <si>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</si>
  <si>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</si>
  <si>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</si>
  <si>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</si>
  <si>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</si>
  <si>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</si>
  <si>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</si>
  <si>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</si>
  <si>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</si>
  <si>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</si>
  <si>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</si>
  <si>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</si>
  <si>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</si>
  <si>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</si>
  <si>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</si>
  <si>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</si>
  <si>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</si>
  <si>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</si>
  <si>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</si>
  <si>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</si>
  <si>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</si>
  <si>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</si>
  <si>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</si>
  <si>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</si>
  <si>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</si>
  <si>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</si>
  <si>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</si>
  <si>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</si>
  <si>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</si>
  <si>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</si>
  <si>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</si>
  <si>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</si>
  <si>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</si>
  <si>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</si>
  <si>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</si>
  <si>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</si>
  <si>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</si>
  <si>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</si>
  <si>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</si>
  <si>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</si>
  <si>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</si>
  <si>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</si>
  <si>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</si>
  <si>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</si>
  <si>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</si>
  <si>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</si>
  <si>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</si>
  <si>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</si>
  <si>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</si>
  <si>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</si>
  <si>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</si>
  <si>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</si>
  <si>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</si>
  <si>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</si>
  <si>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</si>
  <si>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</si>
  <si>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</si>
  <si>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</si>
  <si>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</si>
  <si>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</si>
  <si>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</si>
  <si>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</si>
  <si>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</si>
  <si>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</si>
  <si>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</si>
  <si>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</si>
  <si>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</si>
  <si>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</si>
  <si>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</si>
  <si>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</si>
  <si>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</si>
  <si>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</si>
  <si>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</si>
  <si>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</si>
  <si>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</si>
  <si>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</si>
  <si>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</si>
  <si>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</si>
  <si>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</si>
  <si>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</si>
  <si>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</si>
  <si>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</si>
  <si>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</si>
  <si>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</si>
  <si>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</si>
  <si>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</si>
  <si>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</si>
  <si>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</si>
  <si>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</si>
  <si>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</si>
  <si>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</si>
  <si>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</si>
  <si>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</si>
  <si>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</si>
  <si>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</si>
  <si>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</si>
  <si>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</si>
  <si>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</si>
  <si>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</si>
  <si>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</si>
  <si>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</si>
  <si>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</si>
  <si>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</si>
  <si>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</si>
  <si>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</si>
  <si>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</si>
  <si>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</si>
  <si>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</si>
  <si>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</si>
  <si>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</si>
  <si>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</si>
  <si>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</si>
  <si>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</si>
  <si>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</si>
  <si>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</si>
  <si>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</si>
  <si>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</si>
  <si>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</si>
  <si>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</si>
  <si>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</si>
  <si>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</si>
  <si>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</si>
  <si>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</si>
  <si>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</si>
  <si>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</si>
  <si>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</si>
  <si>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</si>
  <si>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</si>
  <si>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</si>
  <si>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</si>
  <si>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</si>
  <si>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</si>
  <si>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</si>
  <si>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</si>
  <si>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</si>
  <si>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</si>
  <si>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</si>
  <si>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</si>
  <si>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</si>
  <si>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</si>
  <si>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</si>
  <si>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</si>
  <si>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</si>
  <si>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</si>
  <si>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</si>
  <si>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</si>
  <si>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</si>
  <si>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</si>
  <si>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</si>
  <si>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</si>
  <si>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</si>
  <si>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</si>
  <si>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</si>
  <si>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</si>
  <si>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</si>
  <si>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</si>
  <si>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</si>
  <si>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</si>
  <si>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</si>
  <si>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</si>
  <si>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</si>
  <si>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</si>
  <si>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</si>
  <si>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</si>
  <si>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</si>
  <si>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</si>
  <si>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</si>
  <si>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</si>
  <si>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</si>
  <si>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</si>
  <si>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</si>
  <si>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</si>
  <si>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</si>
  <si>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</si>
  <si>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</si>
  <si>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</si>
  <si>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</si>
  <si>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</si>
  <si>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</si>
  <si>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</si>
  <si>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</si>
  <si>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</si>
  <si>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</si>
  <si>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</si>
  <si>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</si>
  <si>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</si>
  <si>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</si>
  <si>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</si>
  <si>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</si>
  <si>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</si>
  <si>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</si>
  <si>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</si>
  <si>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</si>
  <si>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</si>
  <si>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</si>
  <si>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</si>
  <si>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</si>
  <si>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</si>
  <si>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</si>
  <si>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</si>
  <si>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</si>
  <si>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</si>
  <si>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</si>
  <si>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</si>
  <si>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</si>
  <si>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</si>
  <si>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</si>
  <si>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</si>
  <si>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</si>
  <si>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</si>
  <si>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</si>
  <si>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</si>
  <si>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</si>
  <si>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</si>
  <si>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</si>
  <si>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</si>
  <si>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</si>
  <si>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</si>
  <si>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</si>
  <si>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</si>
  <si>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</si>
  <si>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</si>
  <si>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</si>
  <si>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</si>
  <si>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</si>
  <si>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</si>
  <si>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</si>
  <si>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</si>
  <si>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</si>
  <si>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</si>
  <si>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</si>
  <si>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</si>
  <si>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</si>
  <si>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</si>
  <si>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</si>
  <si>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</si>
  <si>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</si>
  <si>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</si>
  <si>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</si>
  <si>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</si>
  <si>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</si>
  <si>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</si>
  <si>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</si>
  <si>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</si>
  <si>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</si>
  <si>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</si>
  <si>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</si>
  <si>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</si>
  <si>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</si>
  <si>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</si>
  <si>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</si>
  <si>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</si>
  <si>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</si>
  <si>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</si>
  <si>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</si>
  <si>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</si>
  <si>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</si>
  <si>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</si>
  <si>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</si>
  <si>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</si>
  <si>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</si>
  <si>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</si>
  <si>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</si>
  <si>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</si>
  <si>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</si>
  <si>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</si>
  <si>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</si>
  <si>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</si>
  <si>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</si>
  <si>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</si>
  <si>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</si>
  <si>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</si>
  <si>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</si>
  <si>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</si>
  <si>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</si>
  <si>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</si>
  <si>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</si>
  <si>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</si>
  <si>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</si>
  <si>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</si>
  <si>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</si>
  <si>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</si>
  <si>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</si>
  <si>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</si>
  <si>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</si>
  <si>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</si>
  <si>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24001</t>
  </si>
  <si>
    <t>AARSCHOT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</si>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</sst>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270269.16979385144</c:v>
                </c:pt>
                <c:pt idx="1">
                  <c:v>98902.29720196726</c:v>
                </c:pt>
                <c:pt idx="2">
                  <c:v>1870.9939999999999</c:v>
                </c:pt>
                <c:pt idx="3">
                  <c:v>18993.542631336746</c:v>
                </c:pt>
                <c:pt idx="4">
                  <c:v>64550.23993322911</c:v>
                </c:pt>
                <c:pt idx="5">
                  <c:v>313660.00150977226</c:v>
                </c:pt>
                <c:pt idx="6">
                  <c:v>3902.368997443511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270269.16979385144</c:v>
                </c:pt>
                <c:pt idx="1">
                  <c:v>98902.29720196726</c:v>
                </c:pt>
                <c:pt idx="2">
                  <c:v>1870.9939999999999</c:v>
                </c:pt>
                <c:pt idx="3">
                  <c:v>18993.542631336746</c:v>
                </c:pt>
                <c:pt idx="4">
                  <c:v>64550.23993322911</c:v>
                </c:pt>
                <c:pt idx="5">
                  <c:v>313660.00150977226</c:v>
                </c:pt>
                <c:pt idx="6">
                  <c:v>3902.368997443511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57120.489403521162</c:v>
                </c:pt>
                <c:pt idx="1">
                  <c:v>19671.445454771991</c:v>
                </c:pt>
                <c:pt idx="2">
                  <c:v>383.72816160757753</c:v>
                </c:pt>
                <c:pt idx="3">
                  <c:v>4517.7461706944559</c:v>
                </c:pt>
                <c:pt idx="4">
                  <c:v>11205.32513029558</c:v>
                </c:pt>
                <c:pt idx="5">
                  <c:v>78502.526082065</c:v>
                </c:pt>
                <c:pt idx="6">
                  <c:v>985.93572559234337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57120.489403521162</c:v>
                </c:pt>
                <c:pt idx="1">
                  <c:v>19671.445454771991</c:v>
                </c:pt>
                <c:pt idx="2">
                  <c:v>383.72816160757753</c:v>
                </c:pt>
                <c:pt idx="3">
                  <c:v>4517.7461706944559</c:v>
                </c:pt>
                <c:pt idx="4">
                  <c:v>11205.32513029558</c:v>
                </c:pt>
                <c:pt idx="5">
                  <c:v>78502.526082065</c:v>
                </c:pt>
                <c:pt idx="6">
                  <c:v>985.93572559234337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24001</v>
      </c>
      <c r="B6" s="415"/>
      <c r="C6" s="416"/>
    </row>
    <row r="7" spans="1:7" s="413" customFormat="1" ht="15.75" customHeight="1">
      <c r="A7" s="417" t="str">
        <f>txtMunicipality</f>
        <v>AARSCHOT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13246</v>
      </c>
      <c r="C9" s="342">
        <v>13373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1592.72</v>
      </c>
    </row>
    <row r="15" spans="1:6">
      <c r="A15" s="348" t="s">
        <v>184</v>
      </c>
      <c r="B15" s="334">
        <v>690</v>
      </c>
    </row>
    <row r="16" spans="1:6">
      <c r="A16" s="348" t="s">
        <v>6</v>
      </c>
      <c r="B16" s="334">
        <v>128</v>
      </c>
    </row>
    <row r="17" spans="1:6">
      <c r="A17" s="348" t="s">
        <v>7</v>
      </c>
      <c r="B17" s="334">
        <v>206</v>
      </c>
    </row>
    <row r="18" spans="1:6">
      <c r="A18" s="348" t="s">
        <v>8</v>
      </c>
      <c r="B18" s="334">
        <v>346</v>
      </c>
    </row>
    <row r="19" spans="1:6">
      <c r="A19" s="348" t="s">
        <v>9</v>
      </c>
      <c r="B19" s="334">
        <v>223</v>
      </c>
    </row>
    <row r="20" spans="1:6">
      <c r="A20" s="348" t="s">
        <v>10</v>
      </c>
      <c r="B20" s="334">
        <v>144</v>
      </c>
    </row>
    <row r="21" spans="1:6">
      <c r="A21" s="348" t="s">
        <v>11</v>
      </c>
      <c r="B21" s="334">
        <v>210</v>
      </c>
    </row>
    <row r="22" spans="1:6">
      <c r="A22" s="348" t="s">
        <v>12</v>
      </c>
      <c r="B22" s="334">
        <v>568</v>
      </c>
    </row>
    <row r="23" spans="1:6">
      <c r="A23" s="348" t="s">
        <v>13</v>
      </c>
      <c r="B23" s="334">
        <v>0</v>
      </c>
    </row>
    <row r="24" spans="1:6">
      <c r="A24" s="348" t="s">
        <v>14</v>
      </c>
      <c r="B24" s="334">
        <v>0</v>
      </c>
    </row>
    <row r="25" spans="1:6">
      <c r="A25" s="348" t="s">
        <v>15</v>
      </c>
      <c r="B25" s="334">
        <v>91</v>
      </c>
    </row>
    <row r="26" spans="1:6">
      <c r="A26" s="348" t="s">
        <v>16</v>
      </c>
      <c r="B26" s="334">
        <v>222</v>
      </c>
    </row>
    <row r="27" spans="1:6">
      <c r="A27" s="348" t="s">
        <v>17</v>
      </c>
      <c r="B27" s="334">
        <v>3</v>
      </c>
    </row>
    <row r="28" spans="1:6" s="356" customFormat="1">
      <c r="A28" s="355" t="s">
        <v>18</v>
      </c>
      <c r="B28" s="355">
        <v>11385</v>
      </c>
    </row>
    <row r="29" spans="1:6">
      <c r="A29" s="355" t="s">
        <v>744</v>
      </c>
      <c r="B29" s="355">
        <v>237</v>
      </c>
      <c r="C29" s="356"/>
      <c r="D29" s="356"/>
      <c r="E29" s="356"/>
      <c r="F29" s="356"/>
    </row>
    <row r="30" spans="1:6">
      <c r="A30" s="341" t="s">
        <v>745</v>
      </c>
      <c r="B30" s="341">
        <v>60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2412</v>
      </c>
    </row>
    <row r="39" spans="1:6">
      <c r="A39" s="348" t="s">
        <v>30</v>
      </c>
      <c r="B39" s="348" t="s">
        <v>31</v>
      </c>
      <c r="C39" s="334">
        <v>6440</v>
      </c>
      <c r="D39" s="334">
        <v>96803663.718639493</v>
      </c>
      <c r="E39" s="334">
        <v>13098</v>
      </c>
      <c r="F39" s="334">
        <v>45688450.603548497</v>
      </c>
    </row>
    <row r="40" spans="1:6">
      <c r="A40" s="348" t="s">
        <v>30</v>
      </c>
      <c r="B40" s="348" t="s">
        <v>29</v>
      </c>
      <c r="C40" s="334">
        <v>0</v>
      </c>
      <c r="D40" s="334">
        <v>0</v>
      </c>
      <c r="E40" s="334">
        <v>0</v>
      </c>
      <c r="F40" s="334">
        <v>0</v>
      </c>
    </row>
    <row r="41" spans="1:6">
      <c r="A41" s="348" t="s">
        <v>32</v>
      </c>
      <c r="B41" s="348" t="s">
        <v>33</v>
      </c>
      <c r="C41" s="334">
        <v>88</v>
      </c>
      <c r="D41" s="334">
        <v>1544602.5498603899</v>
      </c>
      <c r="E41" s="334">
        <v>266</v>
      </c>
      <c r="F41" s="334">
        <v>2639935.9017335698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114093.23478635499</v>
      </c>
      <c r="E44" s="334">
        <v>20</v>
      </c>
      <c r="F44" s="334">
        <v>789652.26891736698</v>
      </c>
    </row>
    <row r="45" spans="1:6">
      <c r="A45" s="348" t="s">
        <v>32</v>
      </c>
      <c r="B45" s="348" t="s">
        <v>37</v>
      </c>
      <c r="C45" s="334">
        <v>0</v>
      </c>
      <c r="D45" s="334">
        <v>0</v>
      </c>
      <c r="E45" s="334">
        <v>3</v>
      </c>
      <c r="F45" s="334">
        <v>585333.13047412899</v>
      </c>
    </row>
    <row r="46" spans="1:6">
      <c r="A46" s="348" t="s">
        <v>32</v>
      </c>
      <c r="B46" s="348" t="s">
        <v>38</v>
      </c>
      <c r="C46" s="334">
        <v>0</v>
      </c>
      <c r="D46" s="334">
        <v>0</v>
      </c>
      <c r="E46" s="334">
        <v>0</v>
      </c>
      <c r="F46" s="334">
        <v>0</v>
      </c>
    </row>
    <row r="47" spans="1:6">
      <c r="A47" s="348" t="s">
        <v>32</v>
      </c>
      <c r="B47" s="348" t="s">
        <v>39</v>
      </c>
      <c r="C47" s="334">
        <v>0</v>
      </c>
      <c r="D47" s="334">
        <v>0</v>
      </c>
      <c r="E47" s="334">
        <v>14</v>
      </c>
      <c r="F47" s="334">
        <v>2006000.7770638999</v>
      </c>
    </row>
    <row r="48" spans="1:6">
      <c r="A48" s="348" t="s">
        <v>32</v>
      </c>
      <c r="B48" s="348" t="s">
        <v>29</v>
      </c>
      <c r="C48" s="334">
        <v>55</v>
      </c>
      <c r="D48" s="334">
        <v>12480449.4377918</v>
      </c>
      <c r="E48" s="334">
        <v>72</v>
      </c>
      <c r="F48" s="334">
        <v>23581975.573449701</v>
      </c>
    </row>
    <row r="49" spans="1:6">
      <c r="A49" s="348" t="s">
        <v>32</v>
      </c>
      <c r="B49" s="348" t="s">
        <v>40</v>
      </c>
      <c r="C49" s="334">
        <v>0</v>
      </c>
      <c r="D49" s="334">
        <v>0</v>
      </c>
      <c r="E49" s="334">
        <v>3</v>
      </c>
      <c r="F49" s="334">
        <v>12014.760984656599</v>
      </c>
    </row>
    <row r="50" spans="1:6">
      <c r="A50" s="348" t="s">
        <v>32</v>
      </c>
      <c r="B50" s="348" t="s">
        <v>41</v>
      </c>
      <c r="C50" s="334">
        <v>11</v>
      </c>
      <c r="D50" s="334">
        <v>307698.67363179103</v>
      </c>
      <c r="E50" s="334">
        <v>17</v>
      </c>
      <c r="F50" s="334">
        <v>411382.65696753399</v>
      </c>
    </row>
    <row r="51" spans="1:6">
      <c r="A51" s="348" t="s">
        <v>42</v>
      </c>
      <c r="B51" s="348" t="s">
        <v>43</v>
      </c>
      <c r="C51" s="334">
        <v>0</v>
      </c>
      <c r="D51" s="334">
        <v>0</v>
      </c>
      <c r="E51" s="334">
        <v>45</v>
      </c>
      <c r="F51" s="334">
        <v>2051343.1355511399</v>
      </c>
    </row>
    <row r="52" spans="1:6">
      <c r="A52" s="348" t="s">
        <v>42</v>
      </c>
      <c r="B52" s="348" t="s">
        <v>29</v>
      </c>
      <c r="C52" s="334">
        <v>8</v>
      </c>
      <c r="D52" s="334">
        <v>2724229.54087923</v>
      </c>
      <c r="E52" s="334">
        <v>22</v>
      </c>
      <c r="F52" s="334">
        <v>244569.790318841</v>
      </c>
    </row>
    <row r="53" spans="1:6">
      <c r="A53" s="348" t="s">
        <v>44</v>
      </c>
      <c r="B53" s="348" t="s">
        <v>45</v>
      </c>
      <c r="C53" s="334">
        <v>211</v>
      </c>
      <c r="D53" s="334">
        <v>4740147.5653648898</v>
      </c>
      <c r="E53" s="334">
        <v>644</v>
      </c>
      <c r="F53" s="334">
        <v>2298174.3864659402</v>
      </c>
    </row>
    <row r="54" spans="1:6">
      <c r="A54" s="348" t="s">
        <v>46</v>
      </c>
      <c r="B54" s="348" t="s">
        <v>47</v>
      </c>
      <c r="C54" s="334">
        <v>0</v>
      </c>
      <c r="D54" s="334">
        <v>0</v>
      </c>
      <c r="E54" s="334">
        <v>1</v>
      </c>
      <c r="F54" s="334">
        <v>1870994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8625472.7108762506</v>
      </c>
      <c r="E57" s="334">
        <v>167</v>
      </c>
      <c r="F57" s="334">
        <v>4364844.4222472003</v>
      </c>
    </row>
    <row r="58" spans="1:6">
      <c r="A58" s="348" t="s">
        <v>49</v>
      </c>
      <c r="B58" s="348" t="s">
        <v>51</v>
      </c>
      <c r="C58" s="334">
        <v>62</v>
      </c>
      <c r="D58" s="334">
        <v>7142621.3560978901</v>
      </c>
      <c r="E58" s="334">
        <v>113</v>
      </c>
      <c r="F58" s="334">
        <v>3548323.44989052</v>
      </c>
    </row>
    <row r="59" spans="1:6">
      <c r="A59" s="348" t="s">
        <v>49</v>
      </c>
      <c r="B59" s="348" t="s">
        <v>52</v>
      </c>
      <c r="C59" s="334">
        <v>169</v>
      </c>
      <c r="D59" s="334">
        <v>11452826.648597499</v>
      </c>
      <c r="E59" s="334">
        <v>406</v>
      </c>
      <c r="F59" s="334">
        <v>13226196.1281681</v>
      </c>
    </row>
    <row r="60" spans="1:6">
      <c r="A60" s="348" t="s">
        <v>49</v>
      </c>
      <c r="B60" s="348" t="s">
        <v>53</v>
      </c>
      <c r="C60" s="334">
        <v>115</v>
      </c>
      <c r="D60" s="334">
        <v>8694354.4488593601</v>
      </c>
      <c r="E60" s="334">
        <v>185</v>
      </c>
      <c r="F60" s="334">
        <v>4789969.1307752402</v>
      </c>
    </row>
    <row r="61" spans="1:6">
      <c r="A61" s="348" t="s">
        <v>49</v>
      </c>
      <c r="B61" s="348" t="s">
        <v>54</v>
      </c>
      <c r="C61" s="334">
        <v>181</v>
      </c>
      <c r="D61" s="334">
        <v>6847330.7924408503</v>
      </c>
      <c r="E61" s="334">
        <v>584</v>
      </c>
      <c r="F61" s="334">
        <v>5832985.2458537901</v>
      </c>
    </row>
    <row r="62" spans="1:6">
      <c r="A62" s="348" t="s">
        <v>49</v>
      </c>
      <c r="B62" s="348" t="s">
        <v>55</v>
      </c>
      <c r="C62" s="334">
        <v>17</v>
      </c>
      <c r="D62" s="334">
        <v>1756224.8377408499</v>
      </c>
      <c r="E62" s="334">
        <v>23</v>
      </c>
      <c r="F62" s="334">
        <v>1363323.3273756399</v>
      </c>
    </row>
    <row r="63" spans="1:6">
      <c r="A63" s="348" t="s">
        <v>49</v>
      </c>
      <c r="B63" s="348" t="s">
        <v>29</v>
      </c>
      <c r="C63" s="334">
        <v>182</v>
      </c>
      <c r="D63" s="334">
        <v>10084136.0492328</v>
      </c>
      <c r="E63" s="334">
        <v>238</v>
      </c>
      <c r="F63" s="334">
        <v>4772835.78473497</v>
      </c>
    </row>
    <row r="64" spans="1:6">
      <c r="A64" s="348" t="s">
        <v>56</v>
      </c>
      <c r="B64" s="348" t="s">
        <v>57</v>
      </c>
      <c r="C64" s="334">
        <v>0</v>
      </c>
      <c r="D64" s="334">
        <v>0</v>
      </c>
      <c r="E64" s="334">
        <v>0</v>
      </c>
      <c r="F64" s="334">
        <v>0</v>
      </c>
    </row>
    <row r="65" spans="1:6">
      <c r="A65" s="348" t="s">
        <v>56</v>
      </c>
      <c r="B65" s="348" t="s">
        <v>29</v>
      </c>
      <c r="C65" s="334">
        <v>4</v>
      </c>
      <c r="D65" s="334">
        <v>211684.673844479</v>
      </c>
      <c r="E65" s="334">
        <v>4</v>
      </c>
      <c r="F65" s="334">
        <v>30157.760868533602</v>
      </c>
    </row>
    <row r="66" spans="1:6">
      <c r="A66" s="348" t="s">
        <v>56</v>
      </c>
      <c r="B66" s="348" t="s">
        <v>58</v>
      </c>
      <c r="C66" s="334">
        <v>0</v>
      </c>
      <c r="D66" s="334">
        <v>0</v>
      </c>
      <c r="E66" s="334">
        <v>27</v>
      </c>
      <c r="F66" s="334">
        <v>745020</v>
      </c>
    </row>
    <row r="67" spans="1:6">
      <c r="A67" s="355" t="s">
        <v>56</v>
      </c>
      <c r="B67" s="355" t="s">
        <v>59</v>
      </c>
      <c r="C67" s="334">
        <v>0</v>
      </c>
      <c r="D67" s="334">
        <v>0</v>
      </c>
      <c r="E67" s="334">
        <v>0</v>
      </c>
      <c r="F67" s="334">
        <v>0</v>
      </c>
    </row>
    <row r="68" spans="1:6">
      <c r="A68" s="341" t="s">
        <v>56</v>
      </c>
      <c r="B68" s="341" t="s">
        <v>60</v>
      </c>
      <c r="C68" s="334">
        <v>0</v>
      </c>
      <c r="D68" s="334">
        <v>0</v>
      </c>
      <c r="E68" s="334">
        <v>14</v>
      </c>
      <c r="F68" s="334">
        <v>275502.173551735</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131639195</v>
      </c>
      <c r="E73" s="476">
        <v>134032269.04409273</v>
      </c>
    </row>
    <row r="74" spans="1:6">
      <c r="A74" s="348" t="s">
        <v>64</v>
      </c>
      <c r="B74" s="348" t="s">
        <v>657</v>
      </c>
      <c r="C74" s="1272" t="s">
        <v>659</v>
      </c>
      <c r="D74" s="476">
        <v>12397358.154276894</v>
      </c>
      <c r="E74" s="476">
        <v>12270946.731227279</v>
      </c>
    </row>
    <row r="75" spans="1:6">
      <c r="A75" s="348" t="s">
        <v>65</v>
      </c>
      <c r="B75" s="348" t="s">
        <v>656</v>
      </c>
      <c r="C75" s="1272" t="s">
        <v>660</v>
      </c>
      <c r="D75" s="476">
        <v>52891612</v>
      </c>
      <c r="E75" s="476">
        <v>53352594.179859668</v>
      </c>
    </row>
    <row r="76" spans="1:6">
      <c r="A76" s="348" t="s">
        <v>65</v>
      </c>
      <c r="B76" s="348" t="s">
        <v>657</v>
      </c>
      <c r="C76" s="1272" t="s">
        <v>661</v>
      </c>
      <c r="D76" s="476">
        <v>1350561.1542768942</v>
      </c>
      <c r="E76" s="476">
        <v>1343628.1562707312</v>
      </c>
    </row>
    <row r="77" spans="1:6">
      <c r="A77" s="348" t="s">
        <v>66</v>
      </c>
      <c r="B77" s="348" t="s">
        <v>656</v>
      </c>
      <c r="C77" s="1272" t="s">
        <v>662</v>
      </c>
      <c r="D77" s="476">
        <v>160774733</v>
      </c>
      <c r="E77" s="476">
        <v>168984314.54247007</v>
      </c>
    </row>
    <row r="78" spans="1:6">
      <c r="A78" s="341" t="s">
        <v>66</v>
      </c>
      <c r="B78" s="341" t="s">
        <v>657</v>
      </c>
      <c r="C78" s="341" t="s">
        <v>663</v>
      </c>
      <c r="D78" s="1273">
        <v>16008519</v>
      </c>
      <c r="E78" s="1273">
        <v>16625926.146350889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1058387.6914462117</v>
      </c>
      <c r="C83" s="476">
        <v>1059828.0004876654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24.187102556313992</v>
      </c>
    </row>
    <row r="90" spans="1:6">
      <c r="A90" s="348" t="s">
        <v>549</v>
      </c>
      <c r="B90" s="1274">
        <v>0</v>
      </c>
    </row>
    <row r="91" spans="1:6">
      <c r="A91" s="348" t="s">
        <v>68</v>
      </c>
      <c r="B91" s="334">
        <v>5695.2279284368869</v>
      </c>
    </row>
    <row r="92" spans="1:6">
      <c r="A92" s="341" t="s">
        <v>69</v>
      </c>
      <c r="B92" s="342">
        <v>3177.6785657914734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57</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4</v>
      </c>
    </row>
    <row r="131" spans="1:6">
      <c r="A131" s="348" t="s">
        <v>296</v>
      </c>
      <c r="B131" s="334">
        <v>5</v>
      </c>
    </row>
    <row r="132" spans="1:6">
      <c r="A132" s="341" t="s">
        <v>297</v>
      </c>
      <c r="B132" s="342">
        <v>55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123611.20236008747</v>
      </c>
      <c r="C3" s="43" t="s">
        <v>170</v>
      </c>
      <c r="D3" s="43"/>
      <c r="E3" s="154"/>
      <c r="F3" s="43"/>
      <c r="G3" s="43"/>
      <c r="H3" s="43"/>
      <c r="I3" s="43"/>
      <c r="J3" s="43"/>
      <c r="K3" s="96"/>
    </row>
    <row r="4" spans="1:11">
      <c r="A4" s="383" t="s">
        <v>171</v>
      </c>
      <c r="B4" s="49">
        <f>IF(ISERROR('SEAP template'!B69),0,'SEAP template'!B69)</f>
        <v>8897.0935967846744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0.20509320799937228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1870.9939999999999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1870.9939999999999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0.20509320799937228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383.72816160757753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45688.450603548496</v>
      </c>
      <c r="C5" s="17">
        <f>IF(ISERROR('Eigen informatie GS &amp; warmtenet'!B57),0,'Eigen informatie GS &amp; warmtenet'!B57)</f>
        <v>0</v>
      </c>
      <c r="D5" s="30">
        <f>(SUM(HH_hh_gas_kWh,HH_rest_gas_kWh)/1000)*0.902</f>
        <v>87316.904674212827</v>
      </c>
      <c r="E5" s="17">
        <f>B46*B57</f>
        <v>12106.959135580208</v>
      </c>
      <c r="F5" s="17">
        <f>B51*B62</f>
        <v>98111.428713932983</v>
      </c>
      <c r="G5" s="18"/>
      <c r="H5" s="17"/>
      <c r="I5" s="17"/>
      <c r="J5" s="17">
        <f>B50*B61+C50*C61</f>
        <v>0</v>
      </c>
      <c r="K5" s="17"/>
      <c r="L5" s="17"/>
      <c r="M5" s="17"/>
      <c r="N5" s="17">
        <f>B48*B59+C48*C59</f>
        <v>19043.012071473437</v>
      </c>
      <c r="O5" s="17">
        <f>B69*B70*B71</f>
        <v>381.45333333333332</v>
      </c>
      <c r="P5" s="17">
        <f>B77*B78*B79/1000-B77*B78*B79/1000/B80</f>
        <v>1925.7333333333333</v>
      </c>
    </row>
    <row r="6" spans="1:16">
      <c r="A6" s="16" t="s">
        <v>621</v>
      </c>
      <c r="B6" s="843">
        <f>kWh_PV_kleiner_dan_10kW</f>
        <v>5695.2279284368869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51383.678531985381</v>
      </c>
      <c r="C8" s="21">
        <f>C5</f>
        <v>0</v>
      </c>
      <c r="D8" s="21">
        <f>D5</f>
        <v>87316.904674212827</v>
      </c>
      <c r="E8" s="21">
        <f>E5</f>
        <v>12106.959135580208</v>
      </c>
      <c r="F8" s="21">
        <f>F5</f>
        <v>98111.428713932983</v>
      </c>
      <c r="G8" s="21"/>
      <c r="H8" s="21"/>
      <c r="I8" s="21"/>
      <c r="J8" s="21">
        <f>J5</f>
        <v>0</v>
      </c>
      <c r="K8" s="21"/>
      <c r="L8" s="21">
        <f>L5</f>
        <v>0</v>
      </c>
      <c r="M8" s="21">
        <f>M5</f>
        <v>0</v>
      </c>
      <c r="N8" s="21">
        <f>N5</f>
        <v>19043.012071473437</v>
      </c>
      <c r="O8" s="21">
        <f>O5</f>
        <v>381.45333333333332</v>
      </c>
      <c r="P8" s="21">
        <f>P5</f>
        <v>1925.7333333333333</v>
      </c>
    </row>
    <row r="9" spans="1:16">
      <c r="B9" s="19"/>
      <c r="C9" s="19"/>
      <c r="D9" s="258"/>
      <c r="E9" s="19"/>
      <c r="F9" s="19"/>
      <c r="G9" s="19"/>
      <c r="H9" s="19"/>
      <c r="I9" s="19"/>
      <c r="J9" s="19"/>
      <c r="K9" s="19"/>
      <c r="L9" s="19"/>
      <c r="M9" s="19"/>
      <c r="N9" s="19"/>
      <c r="O9" s="19"/>
      <c r="P9" s="19"/>
    </row>
    <row r="10" spans="1:16">
      <c r="A10" s="24" t="s">
        <v>214</v>
      </c>
      <c r="B10" s="25">
        <f ca="1">'EF ele_warmte'!B12</f>
        <v>0.20509320799937228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10538.443468933358</v>
      </c>
      <c r="C12" s="23">
        <f ca="1">C10*C8</f>
        <v>0</v>
      </c>
      <c r="D12" s="23">
        <f>D8*D10</f>
        <v>17638.01474419099</v>
      </c>
      <c r="E12" s="23">
        <f>E10*E8</f>
        <v>2748.2797237767072</v>
      </c>
      <c r="F12" s="23">
        <f>F10*F8</f>
        <v>26195.75146662011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13246</v>
      </c>
      <c r="C28" s="36"/>
      <c r="D28" s="228"/>
    </row>
    <row r="29" spans="1:7" s="15" customFormat="1">
      <c r="A29" s="230" t="s">
        <v>795</v>
      </c>
      <c r="B29" s="37">
        <f>SUM(HH_hh_gas_aantal,HH_rest_gas_aantal)</f>
        <v>6440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6440</v>
      </c>
      <c r="C32" s="167">
        <f>IF(ISERROR(B32/SUM($B$32,$B$34,$B$35,$B$36,$B$38,$B$39)*100),0,B32/SUM($B$32,$B$34,$B$35,$B$36,$B$38,$B$39)*100)</f>
        <v>48.992012171928486</v>
      </c>
      <c r="D32" s="233"/>
      <c r="G32" s="15"/>
    </row>
    <row r="33" spans="1:7">
      <c r="A33" s="171" t="s">
        <v>72</v>
      </c>
      <c r="B33" s="34" t="s">
        <v>111</v>
      </c>
      <c r="C33" s="167"/>
      <c r="D33" s="233"/>
      <c r="G33" s="15"/>
    </row>
    <row r="34" spans="1:7">
      <c r="A34" s="171" t="s">
        <v>73</v>
      </c>
      <c r="B34" s="33">
        <f>IF((($B$28-$B$32-$B$39-$B$77-$B$38)*C20/100)&lt;0,0,($B$28-$B$32-$B$39-$B$77-$B$38)*C20/100)</f>
        <v>571.7994970662196</v>
      </c>
      <c r="C34" s="167">
        <f>IF(ISERROR(B34/SUM($B$32,$B$34,$B$35,$B$36,$B$38,$B$39)*100),0,B34/SUM($B$32,$B$34,$B$35,$B$36,$B$38,$B$39)*100)</f>
        <v>4.3499391180389475</v>
      </c>
      <c r="D34" s="233"/>
      <c r="G34" s="15"/>
    </row>
    <row r="35" spans="1:7">
      <c r="A35" s="171" t="s">
        <v>74</v>
      </c>
      <c r="B35" s="33">
        <f>IF((($B$28-$B$32-$B$39-$B$77-$B$38)*C21/100)&lt;0,0,($B$28-$B$32-$B$39-$B$77-$B$38)*C21/100)</f>
        <v>2079.4930427493714</v>
      </c>
      <c r="C35" s="167">
        <f>IF(ISERROR(B35/SUM($B$32,$B$34,$B$35,$B$36,$B$38,$B$39)*100),0,B35/SUM($B$32,$B$34,$B$35,$B$36,$B$38,$B$39)*100)</f>
        <v>15.819650382269849</v>
      </c>
      <c r="D35" s="233"/>
      <c r="G35" s="15"/>
    </row>
    <row r="36" spans="1:7">
      <c r="A36" s="171" t="s">
        <v>75</v>
      </c>
      <c r="B36" s="33">
        <f>IF((($B$28-$B$32-$B$39-$B$77-$B$38)*C22/100)&lt;0,0,($B$28-$B$32-$B$39-$B$77-$B$38)*C22/100)</f>
        <v>263.90746018440905</v>
      </c>
      <c r="C36" s="167">
        <f>IF(ISERROR(B36/SUM($B$32,$B$34,$B$35,$B$36,$B$38,$B$39)*100),0,B36/SUM($B$32,$B$34,$B$35,$B$36,$B$38,$B$39)*100)</f>
        <v>2.0076642083256679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3789.7999999999997</v>
      </c>
      <c r="C39" s="167">
        <f>IF(ISERROR(B39/SUM($B$32,$B$34,$B$35,$B$36,$B$38,$B$39)*100),0,B39/SUM($B$32,$B$34,$B$35,$B$36,$B$38,$B$39)*100)</f>
        <v>28.830734119437047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6440</v>
      </c>
      <c r="C44" s="34" t="s">
        <v>111</v>
      </c>
      <c r="D44" s="174"/>
    </row>
    <row r="45" spans="1:7">
      <c r="A45" s="171" t="s">
        <v>72</v>
      </c>
      <c r="B45" s="33" t="str">
        <f t="shared" si="0"/>
        <v>-</v>
      </c>
      <c r="C45" s="34" t="s">
        <v>111</v>
      </c>
      <c r="D45" s="174"/>
    </row>
    <row r="46" spans="1:7">
      <c r="A46" s="171" t="s">
        <v>73</v>
      </c>
      <c r="B46" s="33">
        <f t="shared" si="0"/>
        <v>571.7994970662196</v>
      </c>
      <c r="C46" s="34" t="s">
        <v>111</v>
      </c>
      <c r="D46" s="174"/>
    </row>
    <row r="47" spans="1:7">
      <c r="A47" s="171" t="s">
        <v>74</v>
      </c>
      <c r="B47" s="33">
        <f t="shared" si="0"/>
        <v>2079.4930427493714</v>
      </c>
      <c r="C47" s="34" t="s">
        <v>111</v>
      </c>
      <c r="D47" s="174"/>
    </row>
    <row r="48" spans="1:7">
      <c r="A48" s="171" t="s">
        <v>75</v>
      </c>
      <c r="B48" s="33">
        <f t="shared" si="0"/>
        <v>263.90746018440905</v>
      </c>
      <c r="C48" s="33">
        <f>B48*10</f>
        <v>2639.0746018440905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3789.7999999999997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37898.477489045457</v>
      </c>
      <c r="C5" s="17">
        <f>IF(ISERROR('Eigen informatie GS &amp; warmtenet'!B58),0,'Eigen informatie GS &amp; warmtenet'!B58)</f>
        <v>0</v>
      </c>
      <c r="D5" s="30">
        <f>SUM(D6:D12)</f>
        <v>49251.876093148639</v>
      </c>
      <c r="E5" s="17">
        <f>SUM(E6:E12)</f>
        <v>633.60486432074151</v>
      </c>
      <c r="F5" s="17">
        <f>SUM(F6:F12)</f>
        <v>6763.9708711919857</v>
      </c>
      <c r="G5" s="18"/>
      <c r="H5" s="17"/>
      <c r="I5" s="17"/>
      <c r="J5" s="17">
        <f>SUM(J6:J12)</f>
        <v>0.10630120499177688</v>
      </c>
      <c r="K5" s="17"/>
      <c r="L5" s="17"/>
      <c r="M5" s="17"/>
      <c r="N5" s="17">
        <f>SUM(N6:N12)</f>
        <v>4252.6749163887935</v>
      </c>
      <c r="O5" s="17">
        <f>B38*B39*B40</f>
        <v>6.2533333333333339</v>
      </c>
      <c r="P5" s="17">
        <f>B46*B47*B48/1000-B46*B47*B48/1000/B49</f>
        <v>95.333333333333343</v>
      </c>
      <c r="R5" s="32"/>
    </row>
    <row r="6" spans="1:18">
      <c r="A6" s="32" t="s">
        <v>54</v>
      </c>
      <c r="B6" s="37">
        <f>B26</f>
        <v>5832.9852458537898</v>
      </c>
      <c r="C6" s="33"/>
      <c r="D6" s="37">
        <f>IF(ISERROR(TER_kantoor_gas_kWh/1000),0,TER_kantoor_gas_kWh/1000)*0.902</f>
        <v>6176.2923747816467</v>
      </c>
      <c r="E6" s="33">
        <f>$C$26*'E Balans VL '!I12/100/3.6*1000000</f>
        <v>3.6559211500511939E-2</v>
      </c>
      <c r="F6" s="33">
        <f>$C$26*('E Balans VL '!L12+'E Balans VL '!N12)/100/3.6*1000000</f>
        <v>876.53469329916675</v>
      </c>
      <c r="G6" s="34"/>
      <c r="H6" s="33"/>
      <c r="I6" s="33"/>
      <c r="J6" s="33">
        <f>$C$26*('E Balans VL '!D12+'E Balans VL '!E12)/100/3.6*1000000</f>
        <v>0</v>
      </c>
      <c r="K6" s="33"/>
      <c r="L6" s="33"/>
      <c r="M6" s="33"/>
      <c r="N6" s="33">
        <f>$C$26*'E Balans VL '!Y12/100/3.6*1000000</f>
        <v>5.5783855526858597</v>
      </c>
      <c r="O6" s="33"/>
      <c r="P6" s="33"/>
      <c r="R6" s="32"/>
    </row>
    <row r="7" spans="1:18">
      <c r="A7" s="32" t="s">
        <v>53</v>
      </c>
      <c r="B7" s="37">
        <f t="shared" ref="B7:B12" si="0">B27</f>
        <v>4789.96913077524</v>
      </c>
      <c r="C7" s="33"/>
      <c r="D7" s="37">
        <f>IF(ISERROR(TER_horeca_gas_kWh/1000),0,TER_horeca_gas_kWh/1000)*0.902</f>
        <v>7842.3077128711429</v>
      </c>
      <c r="E7" s="33">
        <f>$C$27*'E Balans VL '!I9/100/3.6*1000000</f>
        <v>68.591560096153543</v>
      </c>
      <c r="F7" s="33">
        <f>$C$27*('E Balans VL '!L9+'E Balans VL '!N9)/100/3.6*1000000</f>
        <v>606.56807122436612</v>
      </c>
      <c r="G7" s="34"/>
      <c r="H7" s="33"/>
      <c r="I7" s="33"/>
      <c r="J7" s="33">
        <f>$C$27*('E Balans VL '!D9+'E Balans VL '!E9)/100/3.6*1000000</f>
        <v>0</v>
      </c>
      <c r="K7" s="33"/>
      <c r="L7" s="33"/>
      <c r="M7" s="33"/>
      <c r="N7" s="33">
        <f>$C$27*'E Balans VL '!Y9/100/3.6*1000000</f>
        <v>1.3770105153440539</v>
      </c>
      <c r="O7" s="33"/>
      <c r="P7" s="33"/>
      <c r="R7" s="32"/>
    </row>
    <row r="8" spans="1:18">
      <c r="A8" s="6" t="s">
        <v>52</v>
      </c>
      <c r="B8" s="37">
        <f t="shared" si="0"/>
        <v>13226.1961281681</v>
      </c>
      <c r="C8" s="33"/>
      <c r="D8" s="37">
        <f>IF(ISERROR(TER_handel_gas_kWh/1000),0,TER_handel_gas_kWh/1000)*0.902</f>
        <v>10330.449637034946</v>
      </c>
      <c r="E8" s="33">
        <f>$C$28*'E Balans VL '!I13/100/3.6*1000000</f>
        <v>479.71250258722108</v>
      </c>
      <c r="F8" s="33">
        <f>$C$28*('E Balans VL '!L13+'E Balans VL '!N13)/100/3.6*1000000</f>
        <v>2547.4992980355801</v>
      </c>
      <c r="G8" s="34"/>
      <c r="H8" s="33"/>
      <c r="I8" s="33"/>
      <c r="J8" s="33">
        <f>$C$28*('E Balans VL '!D13+'E Balans VL '!E13)/100/3.6*1000000</f>
        <v>0</v>
      </c>
      <c r="K8" s="33"/>
      <c r="L8" s="33"/>
      <c r="M8" s="33"/>
      <c r="N8" s="33">
        <f>$C$28*'E Balans VL '!Y13/100/3.6*1000000</f>
        <v>18.321324849518721</v>
      </c>
      <c r="O8" s="33"/>
      <c r="P8" s="33"/>
      <c r="R8" s="32"/>
    </row>
    <row r="9" spans="1:18">
      <c r="A9" s="32" t="s">
        <v>51</v>
      </c>
      <c r="B9" s="37">
        <f t="shared" si="0"/>
        <v>3548.3234498905199</v>
      </c>
      <c r="C9" s="33"/>
      <c r="D9" s="37">
        <f>IF(ISERROR(TER_gezond_gas_kWh/1000),0,TER_gezond_gas_kWh/1000)*0.902</f>
        <v>6442.6444632002977</v>
      </c>
      <c r="E9" s="33">
        <f>$C$29*'E Balans VL '!I10/100/3.6*1000000</f>
        <v>0.22216008132807091</v>
      </c>
      <c r="F9" s="33">
        <f>$C$29*('E Balans VL '!L10+'E Balans VL '!N10)/100/3.6*1000000</f>
        <v>527.11425209725974</v>
      </c>
      <c r="G9" s="34"/>
      <c r="H9" s="33"/>
      <c r="I9" s="33"/>
      <c r="J9" s="33">
        <f>$C$29*('E Balans VL '!D10+'E Balans VL '!E10)/100/3.6*1000000</f>
        <v>0</v>
      </c>
      <c r="K9" s="33"/>
      <c r="L9" s="33"/>
      <c r="M9" s="33"/>
      <c r="N9" s="33">
        <f>$C$29*'E Balans VL '!Y10/100/3.6*1000000</f>
        <v>54.885809506852446</v>
      </c>
      <c r="O9" s="33"/>
      <c r="P9" s="33"/>
      <c r="R9" s="32"/>
    </row>
    <row r="10" spans="1:18">
      <c r="A10" s="32" t="s">
        <v>50</v>
      </c>
      <c r="B10" s="37">
        <f t="shared" si="0"/>
        <v>4364.8444222471999</v>
      </c>
      <c r="C10" s="33"/>
      <c r="D10" s="37">
        <f>IF(ISERROR(TER_ander_gas_kWh/1000),0,TER_ander_gas_kWh/1000)*0.902</f>
        <v>7780.1763852103786</v>
      </c>
      <c r="E10" s="33">
        <f>$C$30*'E Balans VL '!I14/100/3.6*1000000</f>
        <v>5.2027385781338484</v>
      </c>
      <c r="F10" s="33">
        <f>$C$30*('E Balans VL '!L14+'E Balans VL '!N14)/100/3.6*1000000</f>
        <v>1142.0373466019182</v>
      </c>
      <c r="G10" s="34"/>
      <c r="H10" s="33"/>
      <c r="I10" s="33"/>
      <c r="J10" s="33">
        <f>$C$30*('E Balans VL '!D14+'E Balans VL '!E14)/100/3.6*1000000</f>
        <v>9.4743662689284316E-2</v>
      </c>
      <c r="K10" s="33"/>
      <c r="L10" s="33"/>
      <c r="M10" s="33"/>
      <c r="N10" s="33">
        <f>$C$30*'E Balans VL '!Y14/100/3.6*1000000</f>
        <v>3706.5190771327143</v>
      </c>
      <c r="O10" s="33"/>
      <c r="P10" s="33"/>
      <c r="R10" s="32"/>
    </row>
    <row r="11" spans="1:18">
      <c r="A11" s="32" t="s">
        <v>55</v>
      </c>
      <c r="B11" s="37">
        <f t="shared" si="0"/>
        <v>1363.32332737564</v>
      </c>
      <c r="C11" s="33"/>
      <c r="D11" s="37">
        <f>IF(ISERROR(TER_onderwijs_gas_kWh/1000),0,TER_onderwijs_gas_kWh/1000)*0.902</f>
        <v>1584.1148036422467</v>
      </c>
      <c r="E11" s="33">
        <f>$C$31*'E Balans VL '!I11/100/3.6*1000000</f>
        <v>20.570353169077816</v>
      </c>
      <c r="F11" s="33">
        <f>$C$31*('E Balans VL '!L11+'E Balans VL '!N11)/100/3.6*1000000</f>
        <v>238.87602669430686</v>
      </c>
      <c r="G11" s="34"/>
      <c r="H11" s="33"/>
      <c r="I11" s="33"/>
      <c r="J11" s="33">
        <f>$C$31*('E Balans VL '!D11+'E Balans VL '!E11)/100/3.6*1000000</f>
        <v>0</v>
      </c>
      <c r="K11" s="33"/>
      <c r="L11" s="33"/>
      <c r="M11" s="33"/>
      <c r="N11" s="33">
        <f>$C$31*'E Balans VL '!Y11/100/3.6*1000000</f>
        <v>3.8364954870213475</v>
      </c>
      <c r="O11" s="33"/>
      <c r="P11" s="33"/>
      <c r="R11" s="32"/>
    </row>
    <row r="12" spans="1:18">
      <c r="A12" s="32" t="s">
        <v>260</v>
      </c>
      <c r="B12" s="37">
        <f t="shared" si="0"/>
        <v>4772.8357847349698</v>
      </c>
      <c r="C12" s="33"/>
      <c r="D12" s="37">
        <f>IF(ISERROR(TER_rest_gas_kWh/1000),0,TER_rest_gas_kWh/1000)*0.902</f>
        <v>9095.8907164079865</v>
      </c>
      <c r="E12" s="33">
        <f>$C$32*'E Balans VL '!I8/100/3.6*1000000</f>
        <v>59.268990597326585</v>
      </c>
      <c r="F12" s="33">
        <f>$C$32*('E Balans VL '!L8+'E Balans VL '!N8)/100/3.6*1000000</f>
        <v>825.34118323938742</v>
      </c>
      <c r="G12" s="34"/>
      <c r="H12" s="33"/>
      <c r="I12" s="33"/>
      <c r="J12" s="33">
        <f>$C$32*('E Balans VL '!D8+'E Balans VL '!E8)/100/3.6*1000000</f>
        <v>1.1557542302492558E-2</v>
      </c>
      <c r="K12" s="33"/>
      <c r="L12" s="33"/>
      <c r="M12" s="33"/>
      <c r="N12" s="33">
        <f>$C$32*'E Balans VL '!Y8/100/3.6*1000000</f>
        <v>462.156813344657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37898.477489045457</v>
      </c>
      <c r="C16" s="21">
        <f t="shared" ca="1" si="1"/>
        <v>0</v>
      </c>
      <c r="D16" s="21">
        <f t="shared" ca="1" si="1"/>
        <v>49251.876093148639</v>
      </c>
      <c r="E16" s="21">
        <f t="shared" si="1"/>
        <v>633.60486432074151</v>
      </c>
      <c r="F16" s="21">
        <f t="shared" ca="1" si="1"/>
        <v>6763.9708711919857</v>
      </c>
      <c r="G16" s="21">
        <f t="shared" si="1"/>
        <v>0</v>
      </c>
      <c r="H16" s="21">
        <f t="shared" si="1"/>
        <v>0</v>
      </c>
      <c r="I16" s="21">
        <f t="shared" si="1"/>
        <v>0</v>
      </c>
      <c r="J16" s="21">
        <f t="shared" si="1"/>
        <v>0.10630120499177688</v>
      </c>
      <c r="K16" s="21">
        <f t="shared" si="1"/>
        <v>0</v>
      </c>
      <c r="L16" s="21">
        <f t="shared" ca="1" si="1"/>
        <v>0</v>
      </c>
      <c r="M16" s="21">
        <f t="shared" si="1"/>
        <v>0</v>
      </c>
      <c r="N16" s="21">
        <f t="shared" ca="1" si="1"/>
        <v>4252.6749163887935</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0.20509320799937228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7772.7203265203279</v>
      </c>
      <c r="C20" s="23">
        <f t="shared" ref="C20:P20" ca="1" si="2">C16*C18</f>
        <v>0</v>
      </c>
      <c r="D20" s="23">
        <f t="shared" ca="1" si="2"/>
        <v>9948.8789708160257</v>
      </c>
      <c r="E20" s="23">
        <f t="shared" si="2"/>
        <v>143.82830420080833</v>
      </c>
      <c r="F20" s="23">
        <f t="shared" ca="1" si="2"/>
        <v>1805.9802226082602</v>
      </c>
      <c r="G20" s="23">
        <f t="shared" si="2"/>
        <v>0</v>
      </c>
      <c r="H20" s="23">
        <f t="shared" si="2"/>
        <v>0</v>
      </c>
      <c r="I20" s="23">
        <f t="shared" si="2"/>
        <v>0</v>
      </c>
      <c r="J20" s="23">
        <f t="shared" si="2"/>
        <v>3.7630626567089015E-2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5832.9852458537898</v>
      </c>
      <c r="C26" s="39">
        <f>IF(ISERROR(B26*3.6/1000000/'E Balans VL '!Z12*100),0,B26*3.6/1000000/'E Balans VL '!Z12*100)</f>
        <v>0.1233000679023423</v>
      </c>
      <c r="D26" s="237" t="s">
        <v>754</v>
      </c>
      <c r="F26" s="6"/>
    </row>
    <row r="27" spans="1:18">
      <c r="A27" s="231" t="s">
        <v>53</v>
      </c>
      <c r="B27" s="33">
        <f>IF(ISERROR(TER_horeca_ele_kWh/1000),0,TER_horeca_ele_kWh/1000)</f>
        <v>4789.96913077524</v>
      </c>
      <c r="C27" s="39">
        <f>IF(ISERROR(B27*3.6/1000000/'E Balans VL '!Z9*100),0,B27*3.6/1000000/'E Balans VL '!Z9*100)</f>
        <v>0.37759148126637365</v>
      </c>
      <c r="D27" s="237" t="s">
        <v>754</v>
      </c>
      <c r="F27" s="6"/>
    </row>
    <row r="28" spans="1:18">
      <c r="A28" s="171" t="s">
        <v>52</v>
      </c>
      <c r="B28" s="33">
        <f>IF(ISERROR(TER_handel_ele_kWh/1000),0,TER_handel_ele_kWh/1000)</f>
        <v>13226.1961281681</v>
      </c>
      <c r="C28" s="39">
        <f>IF(ISERROR(B28*3.6/1000000/'E Balans VL '!Z13*100),0,B28*3.6/1000000/'E Balans VL '!Z13*100)</f>
        <v>0.3838776514600542</v>
      </c>
      <c r="D28" s="237" t="s">
        <v>754</v>
      </c>
      <c r="F28" s="6"/>
    </row>
    <row r="29" spans="1:18">
      <c r="A29" s="231" t="s">
        <v>51</v>
      </c>
      <c r="B29" s="33">
        <f>IF(ISERROR(TER_gezond_ele_kWh/1000),0,TER_gezond_ele_kWh/1000)</f>
        <v>3548.3234498905199</v>
      </c>
      <c r="C29" s="39">
        <f>IF(ISERROR(B29*3.6/1000000/'E Balans VL '!Z10*100),0,B29*3.6/1000000/'E Balans VL '!Z10*100)</f>
        <v>0.37369672428249001</v>
      </c>
      <c r="D29" s="237" t="s">
        <v>754</v>
      </c>
      <c r="F29" s="6"/>
    </row>
    <row r="30" spans="1:18">
      <c r="A30" s="231" t="s">
        <v>50</v>
      </c>
      <c r="B30" s="33">
        <f>IF(ISERROR(TER_ander_ele_kWh/1000),0,TER_ander_ele_kWh/1000)</f>
        <v>4364.8444222471999</v>
      </c>
      <c r="C30" s="39">
        <f>IF(ISERROR(B30*3.6/1000000/'E Balans VL '!Z14*100),0,B30*3.6/1000000/'E Balans VL '!Z14*100)</f>
        <v>0.32195187262444608</v>
      </c>
      <c r="D30" s="237" t="s">
        <v>754</v>
      </c>
      <c r="F30" s="6"/>
    </row>
    <row r="31" spans="1:18">
      <c r="A31" s="231" t="s">
        <v>55</v>
      </c>
      <c r="B31" s="33">
        <f>IF(ISERROR(TER_onderwijs_ele_kWh/1000),0,TER_onderwijs_ele_kWh/1000)</f>
        <v>1363.32332737564</v>
      </c>
      <c r="C31" s="39">
        <f>IF(ISERROR(B31*3.6/1000000/'E Balans VL '!Z11*100),0,B31*3.6/1000000/'E Balans VL '!Z11*100)</f>
        <v>0.33857704401298011</v>
      </c>
      <c r="D31" s="237" t="s">
        <v>754</v>
      </c>
    </row>
    <row r="32" spans="1:18">
      <c r="A32" s="231" t="s">
        <v>260</v>
      </c>
      <c r="B32" s="33">
        <f>IF(ISERROR(TER_rest_ele_kWh/1000),0,TER_rest_ele_kWh/1000)</f>
        <v>4772.8357847349698</v>
      </c>
      <c r="C32" s="39">
        <f>IF(ISERROR(B32*3.6/1000000/'E Balans VL '!Z8*100),0,B32*3.6/1000000/'E Balans VL '!Z8*100)</f>
        <v>3.9274103212864064E-2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30026.295069590858</v>
      </c>
      <c r="C5" s="17">
        <f>IF(ISERROR('Eigen informatie GS &amp; warmtenet'!B59),0,'Eigen informatie GS &amp; warmtenet'!B59)</f>
        <v>0</v>
      </c>
      <c r="D5" s="30">
        <f>SUM(D6:D15)</f>
        <v>13031.053194255443</v>
      </c>
      <c r="E5" s="17">
        <f>SUM(E6:E15)</f>
        <v>2101.7841484478513</v>
      </c>
      <c r="F5" s="17">
        <f>SUM(F6:F15)</f>
        <v>7143.9030719321854</v>
      </c>
      <c r="G5" s="18"/>
      <c r="H5" s="17"/>
      <c r="I5" s="17"/>
      <c r="J5" s="17">
        <f>SUM(J6:J15)</f>
        <v>85.695149701413158</v>
      </c>
      <c r="K5" s="17"/>
      <c r="L5" s="17"/>
      <c r="M5" s="17"/>
      <c r="N5" s="17">
        <f>SUM(N6:N15)</f>
        <v>12161.509299301359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789.652268917367</v>
      </c>
      <c r="C8" s="33"/>
      <c r="D8" s="37">
        <f>IF( ISERROR(IND_metaal_Gas_kWH/1000),0,IND_metaal_Gas_kWH/1000)*0.902</f>
        <v>102.91209777729222</v>
      </c>
      <c r="E8" s="33">
        <f>C30*'E Balans VL '!I18/100/3.6*1000000</f>
        <v>7.2600899592810126</v>
      </c>
      <c r="F8" s="33">
        <f>C30*'E Balans VL '!L18/100/3.6*1000000+C30*'E Balans VL '!N18/100/3.6*1000000</f>
        <v>74.043092639203678</v>
      </c>
      <c r="G8" s="34"/>
      <c r="H8" s="33"/>
      <c r="I8" s="33"/>
      <c r="J8" s="40">
        <f>C30*'E Balans VL '!D18/100/3.6*1000000+C30*'E Balans VL '!E18/100/3.6*1000000</f>
        <v>0</v>
      </c>
      <c r="K8" s="33"/>
      <c r="L8" s="33"/>
      <c r="M8" s="33"/>
      <c r="N8" s="33">
        <f>C30*'E Balans VL '!Y18/100/3.6*1000000</f>
        <v>11.265694571433661</v>
      </c>
      <c r="O8" s="33"/>
      <c r="P8" s="33"/>
      <c r="R8" s="32"/>
    </row>
    <row r="9" spans="1:18">
      <c r="A9" s="6" t="s">
        <v>33</v>
      </c>
      <c r="B9" s="37">
        <f t="shared" si="0"/>
        <v>2639.9359017335696</v>
      </c>
      <c r="C9" s="33"/>
      <c r="D9" s="37">
        <f>IF( ISERROR(IND_andere_gas_kWh/1000),0,IND_andere_gas_kWh/1000)*0.902</f>
        <v>1393.2314999740718</v>
      </c>
      <c r="E9" s="33">
        <f>C31*'E Balans VL '!I19/100/3.6*1000000</f>
        <v>771.70465756690203</v>
      </c>
      <c r="F9" s="33">
        <f>C31*'E Balans VL '!L19/100/3.6*1000000+C31*'E Balans VL '!N19/100/3.6*1000000</f>
        <v>2121.3883218295996</v>
      </c>
      <c r="G9" s="34"/>
      <c r="H9" s="33"/>
      <c r="I9" s="33"/>
      <c r="J9" s="40">
        <f>C31*'E Balans VL '!D19/100/3.6*1000000+C31*'E Balans VL '!E19/100/3.6*1000000</f>
        <v>0</v>
      </c>
      <c r="K9" s="33"/>
      <c r="L9" s="33"/>
      <c r="M9" s="33"/>
      <c r="N9" s="33">
        <f>C31*'E Balans VL '!Y19/100/3.6*1000000</f>
        <v>872.27576443578141</v>
      </c>
      <c r="O9" s="33"/>
      <c r="P9" s="33"/>
      <c r="R9" s="32"/>
    </row>
    <row r="10" spans="1:18">
      <c r="A10" s="6" t="s">
        <v>41</v>
      </c>
      <c r="B10" s="37">
        <f t="shared" si="0"/>
        <v>411.38265696753399</v>
      </c>
      <c r="C10" s="33"/>
      <c r="D10" s="37">
        <f>IF( ISERROR(IND_voed_gas_kWh/1000),0,IND_voed_gas_kWh/1000)*0.902</f>
        <v>277.54420361587552</v>
      </c>
      <c r="E10" s="33">
        <f>C32*'E Balans VL '!I20/100/3.6*1000000</f>
        <v>0.87028638937846137</v>
      </c>
      <c r="F10" s="33">
        <f>C32*'E Balans VL '!L20/100/3.6*1000000+C32*'E Balans VL '!N20/100/3.6*1000000</f>
        <v>26.156129545057286</v>
      </c>
      <c r="G10" s="34"/>
      <c r="H10" s="33"/>
      <c r="I10" s="33"/>
      <c r="J10" s="40">
        <f>C32*'E Balans VL '!D20/100/3.6*1000000+C32*'E Balans VL '!E20/100/3.6*1000000</f>
        <v>0</v>
      </c>
      <c r="K10" s="33"/>
      <c r="L10" s="33"/>
      <c r="M10" s="33"/>
      <c r="N10" s="33">
        <f>C32*'E Balans VL '!Y20/100/3.6*1000000</f>
        <v>28.389462954013997</v>
      </c>
      <c r="O10" s="33"/>
      <c r="P10" s="33"/>
      <c r="R10" s="32"/>
    </row>
    <row r="11" spans="1:18">
      <c r="A11" s="6" t="s">
        <v>40</v>
      </c>
      <c r="B11" s="37">
        <f t="shared" si="0"/>
        <v>12.014760984656599</v>
      </c>
      <c r="C11" s="33"/>
      <c r="D11" s="37">
        <f>IF( ISERROR(IND_textiel_gas_kWh/1000),0,IND_textiel_gas_kWh/1000)*0.902</f>
        <v>0</v>
      </c>
      <c r="E11" s="33">
        <f>C33*'E Balans VL '!I21/100/3.6*1000000</f>
        <v>3.5682804252894607E-2</v>
      </c>
      <c r="F11" s="33">
        <f>C33*'E Balans VL '!L21/100/3.6*1000000+C33*'E Balans VL '!N21/100/3.6*1000000</f>
        <v>1.2138207140994655</v>
      </c>
      <c r="G11" s="34"/>
      <c r="H11" s="33"/>
      <c r="I11" s="33"/>
      <c r="J11" s="40">
        <f>C33*'E Balans VL '!D21/100/3.6*1000000+C33*'E Balans VL '!E21/100/3.6*1000000</f>
        <v>0</v>
      </c>
      <c r="K11" s="33"/>
      <c r="L11" s="33"/>
      <c r="M11" s="33"/>
      <c r="N11" s="33">
        <f>C33*'E Balans VL '!Y21/100/3.6*1000000</f>
        <v>0.66265241166235778</v>
      </c>
      <c r="O11" s="33"/>
      <c r="P11" s="33"/>
      <c r="R11" s="32"/>
    </row>
    <row r="12" spans="1:18">
      <c r="A12" s="6" t="s">
        <v>37</v>
      </c>
      <c r="B12" s="37">
        <f t="shared" si="0"/>
        <v>585.33313047412901</v>
      </c>
      <c r="C12" s="33"/>
      <c r="D12" s="37">
        <f>IF( ISERROR(IND_min_gas_kWh/1000),0,IND_min_gas_kWh/1000)*0.902</f>
        <v>0</v>
      </c>
      <c r="E12" s="33">
        <f>C34*'E Balans VL '!I22/100/3.6*1000000</f>
        <v>16.966397247208945</v>
      </c>
      <c r="F12" s="33">
        <f>C34*'E Balans VL '!L22/100/3.6*1000000+C34*'E Balans VL '!N22/100/3.6*1000000</f>
        <v>201.24414466879597</v>
      </c>
      <c r="G12" s="34"/>
      <c r="H12" s="33"/>
      <c r="I12" s="33"/>
      <c r="J12" s="40">
        <f>C34*'E Balans VL '!D22/100/3.6*1000000+C34*'E Balans VL '!E22/100/3.6*1000000</f>
        <v>0.96187872087681114</v>
      </c>
      <c r="K12" s="33"/>
      <c r="L12" s="33"/>
      <c r="M12" s="33"/>
      <c r="N12" s="33">
        <f>C34*'E Balans VL '!Y22/100/3.6*1000000</f>
        <v>128.13904121061844</v>
      </c>
      <c r="O12" s="33"/>
      <c r="P12" s="33"/>
      <c r="R12" s="32"/>
    </row>
    <row r="13" spans="1:18">
      <c r="A13" s="6" t="s">
        <v>39</v>
      </c>
      <c r="B13" s="37">
        <f t="shared" si="0"/>
        <v>2006.0007770638999</v>
      </c>
      <c r="C13" s="33"/>
      <c r="D13" s="37">
        <f>IF( ISERROR(IND_papier_gas_kWh/1000),0,IND_papier_gas_kWh/1000)*0.902</f>
        <v>0</v>
      </c>
      <c r="E13" s="33">
        <f>C35*'E Balans VL '!I23/100/3.6*1000000</f>
        <v>2.8460563338373728</v>
      </c>
      <c r="F13" s="33">
        <f>C35*'E Balans VL '!L23/100/3.6*1000000+C35*'E Balans VL '!N23/100/3.6*1000000</f>
        <v>48.974022017385202</v>
      </c>
      <c r="G13" s="34"/>
      <c r="H13" s="33"/>
      <c r="I13" s="33"/>
      <c r="J13" s="40">
        <f>C35*'E Balans VL '!D23/100/3.6*1000000+C35*'E Balans VL '!E23/100/3.6*1000000</f>
        <v>0.31024685365589172</v>
      </c>
      <c r="K13" s="33"/>
      <c r="L13" s="33"/>
      <c r="M13" s="33"/>
      <c r="N13" s="33">
        <f>C35*'E Balans VL '!Y23/100/3.6*1000000</f>
        <v>5830.9694059248068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23581.975573449701</v>
      </c>
      <c r="C15" s="33"/>
      <c r="D15" s="37">
        <f>IF( ISERROR(IND_rest_gas_kWh/1000),0,IND_rest_gas_kWh/1000)*0.902</f>
        <v>11257.365392888203</v>
      </c>
      <c r="E15" s="33">
        <f>C37*'E Balans VL '!I15/100/3.6*1000000</f>
        <v>1302.1009781469904</v>
      </c>
      <c r="F15" s="33">
        <f>C37*'E Balans VL '!L15/100/3.6*1000000+C37*'E Balans VL '!N15/100/3.6*1000000</f>
        <v>4670.8835405180444</v>
      </c>
      <c r="G15" s="34"/>
      <c r="H15" s="33"/>
      <c r="I15" s="33"/>
      <c r="J15" s="40">
        <f>C37*'E Balans VL '!D15/100/3.6*1000000+C37*'E Balans VL '!E15/100/3.6*1000000</f>
        <v>84.423024126880449</v>
      </c>
      <c r="K15" s="33"/>
      <c r="L15" s="33"/>
      <c r="M15" s="33"/>
      <c r="N15" s="33">
        <f>C37*'E Balans VL '!Y15/100/3.6*1000000</f>
        <v>5289.807277793042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30026.295069590858</v>
      </c>
      <c r="C18" s="21">
        <f>C5+C16</f>
        <v>0</v>
      </c>
      <c r="D18" s="21">
        <f>MAX((D5+D16),0)</f>
        <v>13031.053194255443</v>
      </c>
      <c r="E18" s="21">
        <f>MAX((E5+E16),0)</f>
        <v>2101.7841484478513</v>
      </c>
      <c r="F18" s="21">
        <f>MAX((F5+F16),0)</f>
        <v>7143.9030719321854</v>
      </c>
      <c r="G18" s="21"/>
      <c r="H18" s="21"/>
      <c r="I18" s="21"/>
      <c r="J18" s="21">
        <f>MAX((J5+J16),0)</f>
        <v>85.695149701413158</v>
      </c>
      <c r="K18" s="21"/>
      <c r="L18" s="21">
        <f>MAX((L5+L16),0)</f>
        <v>0</v>
      </c>
      <c r="M18" s="21"/>
      <c r="N18" s="21">
        <f>MAX((N5+N16),0)</f>
        <v>12161.509299301359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0.20509320799937228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6158.1891801581241</v>
      </c>
      <c r="C22" s="23">
        <f ca="1">C18*C20</f>
        <v>0</v>
      </c>
      <c r="D22" s="23">
        <f>D18*D20</f>
        <v>2632.2727452395998</v>
      </c>
      <c r="E22" s="23">
        <f>E18*E20</f>
        <v>477.10500169766226</v>
      </c>
      <c r="F22" s="23">
        <f>F18*F20</f>
        <v>1907.4221202058936</v>
      </c>
      <c r="G22" s="23"/>
      <c r="H22" s="23"/>
      <c r="I22" s="23"/>
      <c r="J22" s="23">
        <f>J18*J20</f>
        <v>30.336082994300256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789.652268917367</v>
      </c>
      <c r="C30" s="39">
        <f>IF(ISERROR(B30*3.6/1000000/'E Balans VL '!Z18*100),0,B30*3.6/1000000/'E Balans VL '!Z18*100)</f>
        <v>4.4751618880396464E-2</v>
      </c>
      <c r="D30" s="237" t="s">
        <v>754</v>
      </c>
    </row>
    <row r="31" spans="1:18">
      <c r="A31" s="6" t="s">
        <v>33</v>
      </c>
      <c r="B31" s="37">
        <f>IF( ISERROR(IND_ander_ele_kWh/1000),0,IND_ander_ele_kWh/1000)</f>
        <v>2639.9359017335696</v>
      </c>
      <c r="C31" s="39">
        <f>IF(ISERROR(B31*3.6/1000000/'E Balans VL '!Z19*100),0,B31*3.6/1000000/'E Balans VL '!Z19*100)</f>
        <v>0.11973650000086103</v>
      </c>
      <c r="D31" s="237" t="s">
        <v>754</v>
      </c>
    </row>
    <row r="32" spans="1:18">
      <c r="A32" s="171" t="s">
        <v>41</v>
      </c>
      <c r="B32" s="37">
        <f>IF( ISERROR(IND_voed_ele_kWh/1000),0,IND_voed_ele_kWh/1000)</f>
        <v>411.38265696753399</v>
      </c>
      <c r="C32" s="39">
        <f>IF(ISERROR(B32*3.6/1000000/'E Balans VL '!Z20*100),0,B32*3.6/1000000/'E Balans VL '!Z20*100)</f>
        <v>1.2725933099583522E-2</v>
      </c>
      <c r="D32" s="237" t="s">
        <v>754</v>
      </c>
    </row>
    <row r="33" spans="1:5">
      <c r="A33" s="171" t="s">
        <v>40</v>
      </c>
      <c r="B33" s="37">
        <f>IF( ISERROR(IND_textiel_ele_kWh/1000),0,IND_textiel_ele_kWh/1000)</f>
        <v>12.014760984656599</v>
      </c>
      <c r="C33" s="39">
        <f>IF(ISERROR(B33*3.6/1000000/'E Balans VL '!Z21*100),0,B33*3.6/1000000/'E Balans VL '!Z21*100)</f>
        <v>1.5665912815304474E-3</v>
      </c>
      <c r="D33" s="237" t="s">
        <v>754</v>
      </c>
    </row>
    <row r="34" spans="1:5">
      <c r="A34" s="171" t="s">
        <v>37</v>
      </c>
      <c r="B34" s="37">
        <f>IF( ISERROR(IND_min_ele_kWh/1000),0,IND_min_ele_kWh/1000)</f>
        <v>585.33313047412901</v>
      </c>
      <c r="C34" s="39">
        <f>IF(ISERROR(B34*3.6/1000000/'E Balans VL '!Z22*100),0,B34*3.6/1000000/'E Balans VL '!Z22*100)</f>
        <v>0.10528316798894906</v>
      </c>
      <c r="D34" s="237" t="s">
        <v>754</v>
      </c>
    </row>
    <row r="35" spans="1:5">
      <c r="A35" s="171" t="s">
        <v>39</v>
      </c>
      <c r="B35" s="37">
        <f>IF( ISERROR(IND_papier_ele_kWh/1000),0,IND_papier_ele_kWh/1000)</f>
        <v>2006.0007770638999</v>
      </c>
      <c r="C35" s="39">
        <f>IF(ISERROR(B35*3.6/1000000/'E Balans VL '!Z22*100),0,B35*3.6/1000000/'E Balans VL '!Z22*100)</f>
        <v>0.36081695329035468</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23581.975573449701</v>
      </c>
      <c r="C37" s="39">
        <f>IF(ISERROR(B37*3.6/1000000/'E Balans VL '!Z15*100),0,B37*3.6/1000000/'E Balans VL '!Z15*100)</f>
        <v>0.18691611783996356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2295.9129258699809</v>
      </c>
      <c r="C5" s="17">
        <f>'Eigen informatie GS &amp; warmtenet'!B60</f>
        <v>0</v>
      </c>
      <c r="D5" s="30">
        <f>IF(ISERROR(SUM(LB_lb_gas_kWh,LB_rest_gas_kWh,onbekend_gas_kWh)/1000),0,SUM(LB_lb_gas_kWh,LB_rest_gas_kWh,onbekend_gas_kWh)/1000)*0.902</f>
        <v>6732.8681498321967</v>
      </c>
      <c r="E5" s="17">
        <f>B17*'E Balans VL '!I25/3.6*1000000/100</f>
        <v>67.483893418790771</v>
      </c>
      <c r="F5" s="17">
        <f>B17*('E Balans VL '!L25/3.6*1000000+'E Balans VL '!N25/3.6*1000000)/100</f>
        <v>9564.6491845516903</v>
      </c>
      <c r="G5" s="18"/>
      <c r="H5" s="17"/>
      <c r="I5" s="17"/>
      <c r="J5" s="17">
        <f>('E Balans VL '!D25+'E Balans VL '!E25)/3.6*1000000*landbouw!B17/100</f>
        <v>332.6284776640851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2295.9129258699809</v>
      </c>
      <c r="C8" s="21">
        <f>C5+C6</f>
        <v>0</v>
      </c>
      <c r="D8" s="21">
        <f>MAX((D5+D6),0)</f>
        <v>6732.8681498321967</v>
      </c>
      <c r="E8" s="21">
        <f>MAX((E5+E6),0)</f>
        <v>67.483893418790771</v>
      </c>
      <c r="F8" s="21">
        <f>MAX((F5+F6),0)</f>
        <v>9564.6491845516903</v>
      </c>
      <c r="G8" s="21"/>
      <c r="H8" s="21"/>
      <c r="I8" s="21"/>
      <c r="J8" s="21">
        <f>MAX((J5+J6),0)</f>
        <v>332.6284776640851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0.20509320799937228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470.87614725389938</v>
      </c>
      <c r="C12" s="23">
        <f ca="1">C8*C10</f>
        <v>0</v>
      </c>
      <c r="D12" s="23">
        <f>D8*D10</f>
        <v>1360.0393662661038</v>
      </c>
      <c r="E12" s="23">
        <f>E8*E10</f>
        <v>15.318843806065505</v>
      </c>
      <c r="F12" s="23">
        <f>F8*F10</f>
        <v>2553.7613322753014</v>
      </c>
      <c r="G12" s="23"/>
      <c r="H12" s="23"/>
      <c r="I12" s="23"/>
      <c r="J12" s="23">
        <f>J8*J10</f>
        <v>117.75048109308612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0.3257972473880798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77.854393859547656</v>
      </c>
      <c r="C26" s="247">
        <f>B26*'GWP N2O_CH4'!B5</f>
        <v>1634.9422710505007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15.228918123876642</v>
      </c>
      <c r="C27" s="247">
        <f>B27*'GWP N2O_CH4'!B5</f>
        <v>319.8072806014095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1.610896727320656</v>
      </c>
      <c r="C28" s="247">
        <f>B28*'GWP N2O_CH4'!B4</f>
        <v>499.37798546940337</v>
      </c>
      <c r="D28" s="50"/>
    </row>
    <row r="29" spans="1:4">
      <c r="A29" s="41" t="s">
        <v>277</v>
      </c>
      <c r="B29" s="247">
        <f>B34*'ha_N2O bodem landbouw'!B4</f>
        <v>10.362619186027862</v>
      </c>
      <c r="C29" s="247">
        <f>B29*'GWP N2O_CH4'!B4</f>
        <v>3212.4119476686374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2.364713987077157E-3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4.8903963694487394E-4</v>
      </c>
      <c r="C5" s="463" t="s">
        <v>211</v>
      </c>
      <c r="D5" s="448">
        <f>SUM(D6:D11)</f>
        <v>1.6730877414159843E-3</v>
      </c>
      <c r="E5" s="448">
        <f>SUM(E6:E11)</f>
        <v>2.4848386203806506E-3</v>
      </c>
      <c r="F5" s="461" t="s">
        <v>211</v>
      </c>
      <c r="G5" s="448">
        <f>SUM(G6:G11)</f>
        <v>0.87522794346891253</v>
      </c>
      <c r="H5" s="448">
        <f>SUM(H6:H11)</f>
        <v>0.1924534626131004</v>
      </c>
      <c r="I5" s="463" t="s">
        <v>211</v>
      </c>
      <c r="J5" s="463" t="s">
        <v>211</v>
      </c>
      <c r="K5" s="463" t="s">
        <v>211</v>
      </c>
      <c r="L5" s="463" t="s">
        <v>211</v>
      </c>
      <c r="M5" s="448">
        <f>SUM(M6:M11)</f>
        <v>5.684763335442572E-2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1.8643426378422851E-4</v>
      </c>
      <c r="C6" s="449"/>
      <c r="D6" s="962">
        <f>vkm_2011_GW_PW*SUMIFS(TableVerdeelsleutelVkm[CNG],TableVerdeelsleutelVkm[Voertuigtype],"Lichte voertuigen")*SUMIFS(TableECFTransport[EnergieConsumptieFactor (PJ per km)],TableECFTransport[Index],CONCATENATE($A6,"_CNG_CNG"))</f>
        <v>5.5919578781842049E-4</v>
      </c>
      <c r="E6" s="962">
        <f>vkm_2011_GW_PW*SUMIFS(TableVerdeelsleutelVkm[LPG],TableVerdeelsleutelVkm[Voertuigtype],"Lichte voertuigen")*SUMIFS(TableECFTransport[EnergieConsumptieFactor (PJ per km)],TableECFTransport[Index],CONCATENATE($A6,"_LPG_LPG"))</f>
        <v>7.639417706763092E-4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0.19752032226182656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6.3590962051791169E-2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1.3427402158798899E-2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0.11633741747610118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3.545107915625191E-5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6.7983723788378287E-3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7.4907847496188848E-5</v>
      </c>
      <c r="C8" s="449"/>
      <c r="D8" s="451">
        <f>vkm_2011_NGW_PW*SUMIFS(TableVerdeelsleutelVkm[CNG],TableVerdeelsleutelVkm[Voertuigtype],"Lichte voertuigen")*SUMIFS(TableECFTransport[EnergieConsumptieFactor (PJ per km)],TableECFTransport[Index],CONCATENATE($A8,"_CNG_CNG"))</f>
        <v>3.9948453359844307E-4</v>
      </c>
      <c r="E8" s="451">
        <f>vkm_2011_NGW_PW*SUMIFS(TableVerdeelsleutelVkm[LPG],TableVerdeelsleutelVkm[Voertuigtype],"Lichte voertuigen")*SUMIFS(TableECFTransport[EnergieConsumptieFactor (PJ per km)],TableECFTransport[Index],CONCATENATE($A8,"_LPG_LPG"))</f>
        <v>5.0542944378674829E-4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0.12178075758079711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4.4146864619900195E-2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8.4252081172563591E-3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1.6250813210750815E-2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4.6619283168950851E-6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9.4963495519416127E-4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2.2769752566445658E-4</v>
      </c>
      <c r="C10" s="449"/>
      <c r="D10" s="451">
        <f>vkm_2011_SW_PW*SUMIFS(TableVerdeelsleutelVkm[CNG],TableVerdeelsleutelVkm[Voertuigtype],"Lichte voertuigen")*SUMIFS(TableECFTransport[EnergieConsumptieFactor (PJ per km)],TableECFTransport[Index],CONCATENATE($A10,"_CNG_CNG"))</f>
        <v>7.1440741999912079E-4</v>
      </c>
      <c r="E10" s="451">
        <f>vkm_2011_SW_PW*SUMIFS(TableVerdeelsleutelVkm[LPG],TableVerdeelsleutelVkm[Voertuigtype],"Lichte voertuigen")*SUMIFS(TableECFTransport[EnergieConsumptieFactor (PJ per km)],TableECFTransport[Index],CONCATENATE($A10,"_LPG_LPG"))</f>
        <v>1.215467405917593E-3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0.28016799094557421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8.4628409632250087E-2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1.8880495410993244E-2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0.1431706419938627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4.7113301685804127E-5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8.3665203333452287E-3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135.84434359579834</v>
      </c>
      <c r="C14" s="21"/>
      <c r="D14" s="21">
        <f t="shared" ref="D14:M14" si="0">((D5)*10^9/3600)+D12</f>
        <v>464.74659483777344</v>
      </c>
      <c r="E14" s="21">
        <f t="shared" si="0"/>
        <v>690.23295010573634</v>
      </c>
      <c r="F14" s="21"/>
      <c r="G14" s="21">
        <f t="shared" si="0"/>
        <v>243118.87318580903</v>
      </c>
      <c r="H14" s="21">
        <f t="shared" si="0"/>
        <v>53459.295170305668</v>
      </c>
      <c r="I14" s="21"/>
      <c r="J14" s="21"/>
      <c r="K14" s="21"/>
      <c r="L14" s="21"/>
      <c r="M14" s="21">
        <f t="shared" si="0"/>
        <v>15791.009265118255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0.20509320799937228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27.860752216631262</v>
      </c>
      <c r="C18" s="23"/>
      <c r="D18" s="23">
        <f t="shared" ref="D18:M18" si="1">D14*D16</f>
        <v>93.878812157230243</v>
      </c>
      <c r="E18" s="23">
        <f t="shared" si="1"/>
        <v>156.68287967400215</v>
      </c>
      <c r="F18" s="23"/>
      <c r="G18" s="23">
        <f t="shared" si="1"/>
        <v>64912.739140611018</v>
      </c>
      <c r="H18" s="23">
        <f t="shared" si="1"/>
        <v>13311.364497406112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1.3293515401245078E-2</v>
      </c>
      <c r="H50" s="321">
        <f t="shared" si="2"/>
        <v>0</v>
      </c>
      <c r="I50" s="321">
        <f t="shared" si="2"/>
        <v>0</v>
      </c>
      <c r="J50" s="321">
        <f t="shared" si="2"/>
        <v>0</v>
      </c>
      <c r="K50" s="321">
        <f t="shared" si="2"/>
        <v>0</v>
      </c>
      <c r="L50" s="321">
        <f t="shared" si="2"/>
        <v>0</v>
      </c>
      <c r="M50" s="321">
        <f t="shared" si="2"/>
        <v>7.5501298955156211E-4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1.3293515401245078E-2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7.5501298955156211E-4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3692.6431670125216</v>
      </c>
      <c r="H54" s="21">
        <f t="shared" si="3"/>
        <v>0</v>
      </c>
      <c r="I54" s="21">
        <f t="shared" si="3"/>
        <v>0</v>
      </c>
      <c r="J54" s="21">
        <f t="shared" si="3"/>
        <v>0</v>
      </c>
      <c r="K54" s="21">
        <f t="shared" si="3"/>
        <v>0</v>
      </c>
      <c r="L54" s="21">
        <f t="shared" si="3"/>
        <v>0</v>
      </c>
      <c r="M54" s="21">
        <f t="shared" si="3"/>
        <v>209.72583043098948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0.20509320799937228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985.93572559234337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24.187102556313992</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8872.9064942283603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8897.0935967846744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39769.471489045456</v>
      </c>
      <c r="D10" s="718">
        <f ca="1">tertiair!C16</f>
        <v>0</v>
      </c>
      <c r="E10" s="718">
        <f ca="1">tertiair!D16</f>
        <v>49251.876093148639</v>
      </c>
      <c r="F10" s="718">
        <f>tertiair!E16</f>
        <v>633.60486432074151</v>
      </c>
      <c r="G10" s="718">
        <f ca="1">tertiair!F16</f>
        <v>6763.9708711919857</v>
      </c>
      <c r="H10" s="718">
        <f>tertiair!G16</f>
        <v>0</v>
      </c>
      <c r="I10" s="718">
        <f>tertiair!H16</f>
        <v>0</v>
      </c>
      <c r="J10" s="718">
        <f>tertiair!I16</f>
        <v>0</v>
      </c>
      <c r="K10" s="718">
        <f>tertiair!J16</f>
        <v>0.10630120499177688</v>
      </c>
      <c r="L10" s="718">
        <f>tertiair!K16</f>
        <v>0</v>
      </c>
      <c r="M10" s="718">
        <f ca="1">tertiair!L16</f>
        <v>0</v>
      </c>
      <c r="N10" s="718">
        <f>tertiair!M16</f>
        <v>0</v>
      </c>
      <c r="O10" s="718">
        <f ca="1">tertiair!N16</f>
        <v>4252.6749163887935</v>
      </c>
      <c r="P10" s="718">
        <f>tertiair!O16</f>
        <v>6.2533333333333339</v>
      </c>
      <c r="Q10" s="719">
        <f>tertiair!P16</f>
        <v>95.333333333333343</v>
      </c>
      <c r="R10" s="721">
        <f ca="1">SUM(C10:Q10)</f>
        <v>100773.29120196725</v>
      </c>
      <c r="S10" s="67"/>
    </row>
    <row r="11" spans="1:19" s="474" customFormat="1">
      <c r="A11" s="870" t="s">
        <v>225</v>
      </c>
      <c r="B11" s="875"/>
      <c r="C11" s="718">
        <f>huishoudens!B8</f>
        <v>51383.678531985381</v>
      </c>
      <c r="D11" s="718">
        <f>huishoudens!C8</f>
        <v>0</v>
      </c>
      <c r="E11" s="718">
        <f>huishoudens!D8</f>
        <v>87316.904674212827</v>
      </c>
      <c r="F11" s="718">
        <f>huishoudens!E8</f>
        <v>12106.959135580208</v>
      </c>
      <c r="G11" s="718">
        <f>huishoudens!F8</f>
        <v>98111.428713932983</v>
      </c>
      <c r="H11" s="718">
        <f>huishoudens!G8</f>
        <v>0</v>
      </c>
      <c r="I11" s="718">
        <f>huishoudens!H8</f>
        <v>0</v>
      </c>
      <c r="J11" s="718">
        <f>huishoudens!I8</f>
        <v>0</v>
      </c>
      <c r="K11" s="718">
        <f>huishoudens!J8</f>
        <v>0</v>
      </c>
      <c r="L11" s="718">
        <f>huishoudens!K8</f>
        <v>0</v>
      </c>
      <c r="M11" s="718">
        <f>huishoudens!L8</f>
        <v>0</v>
      </c>
      <c r="N11" s="718">
        <f>huishoudens!M8</f>
        <v>0</v>
      </c>
      <c r="O11" s="718">
        <f>huishoudens!N8</f>
        <v>19043.012071473437</v>
      </c>
      <c r="P11" s="718">
        <f>huishoudens!O8</f>
        <v>381.45333333333332</v>
      </c>
      <c r="Q11" s="719">
        <f>huishoudens!P8</f>
        <v>1925.7333333333333</v>
      </c>
      <c r="R11" s="721">
        <f>SUM(C11:Q11)</f>
        <v>270269.16979385144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30026.295069590858</v>
      </c>
      <c r="D13" s="718">
        <f>industrie!C18</f>
        <v>0</v>
      </c>
      <c r="E13" s="718">
        <f>industrie!D18</f>
        <v>13031.053194255443</v>
      </c>
      <c r="F13" s="718">
        <f>industrie!E18</f>
        <v>2101.7841484478513</v>
      </c>
      <c r="G13" s="718">
        <f>industrie!F18</f>
        <v>7143.9030719321854</v>
      </c>
      <c r="H13" s="718">
        <f>industrie!G18</f>
        <v>0</v>
      </c>
      <c r="I13" s="718">
        <f>industrie!H18</f>
        <v>0</v>
      </c>
      <c r="J13" s="718">
        <f>industrie!I18</f>
        <v>0</v>
      </c>
      <c r="K13" s="718">
        <f>industrie!J18</f>
        <v>85.695149701413158</v>
      </c>
      <c r="L13" s="718">
        <f>industrie!K18</f>
        <v>0</v>
      </c>
      <c r="M13" s="718">
        <f>industrie!L18</f>
        <v>0</v>
      </c>
      <c r="N13" s="718">
        <f>industrie!M18</f>
        <v>0</v>
      </c>
      <c r="O13" s="718">
        <f>industrie!N18</f>
        <v>12161.509299301359</v>
      </c>
      <c r="P13" s="718">
        <f>industrie!O18</f>
        <v>0</v>
      </c>
      <c r="Q13" s="719">
        <f>industrie!P18</f>
        <v>0</v>
      </c>
      <c r="R13" s="721">
        <f>SUM(C13:Q13)</f>
        <v>64550.23993322911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121179.44509062168</v>
      </c>
      <c r="D15" s="723">
        <f t="shared" ref="D15:Q15" ca="1" si="0">SUM(D9:D14)</f>
        <v>0</v>
      </c>
      <c r="E15" s="723">
        <f t="shared" ca="1" si="0"/>
        <v>149599.83396161691</v>
      </c>
      <c r="F15" s="723">
        <f t="shared" si="0"/>
        <v>14842.348148348799</v>
      </c>
      <c r="G15" s="723">
        <f t="shared" ca="1" si="0"/>
        <v>112019.30265705715</v>
      </c>
      <c r="H15" s="723">
        <f t="shared" si="0"/>
        <v>0</v>
      </c>
      <c r="I15" s="723">
        <f t="shared" si="0"/>
        <v>0</v>
      </c>
      <c r="J15" s="723">
        <f t="shared" si="0"/>
        <v>0</v>
      </c>
      <c r="K15" s="723">
        <f t="shared" si="0"/>
        <v>85.801450906404938</v>
      </c>
      <c r="L15" s="723">
        <f t="shared" si="0"/>
        <v>0</v>
      </c>
      <c r="M15" s="723">
        <f t="shared" ca="1" si="0"/>
        <v>0</v>
      </c>
      <c r="N15" s="723">
        <f t="shared" si="0"/>
        <v>0</v>
      </c>
      <c r="O15" s="723">
        <f t="shared" ca="1" si="0"/>
        <v>35457.196287163591</v>
      </c>
      <c r="P15" s="723">
        <f t="shared" si="0"/>
        <v>387.70666666666665</v>
      </c>
      <c r="Q15" s="724">
        <f t="shared" si="0"/>
        <v>2021.0666666666666</v>
      </c>
      <c r="R15" s="725">
        <f ca="1">SUM(R9:R14)</f>
        <v>435592.70092904783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3692.6431670125216</v>
      </c>
      <c r="I18" s="718">
        <f>transport!H54</f>
        <v>0</v>
      </c>
      <c r="J18" s="718">
        <f>transport!I54</f>
        <v>0</v>
      </c>
      <c r="K18" s="718">
        <f>transport!J54</f>
        <v>0</v>
      </c>
      <c r="L18" s="718">
        <f>transport!K54</f>
        <v>0</v>
      </c>
      <c r="M18" s="718">
        <f>transport!L54</f>
        <v>0</v>
      </c>
      <c r="N18" s="718">
        <f>transport!M54</f>
        <v>209.72583043098948</v>
      </c>
      <c r="O18" s="718">
        <f>transport!N54</f>
        <v>0</v>
      </c>
      <c r="P18" s="718">
        <f>transport!O54</f>
        <v>0</v>
      </c>
      <c r="Q18" s="719">
        <f>transport!P54</f>
        <v>0</v>
      </c>
      <c r="R18" s="721">
        <f>SUM(C18:Q18)</f>
        <v>3902.368997443511</v>
      </c>
      <c r="S18" s="67"/>
    </row>
    <row r="19" spans="1:19" s="474" customFormat="1" ht="15" thickBot="1">
      <c r="A19" s="870" t="s">
        <v>307</v>
      </c>
      <c r="B19" s="875"/>
      <c r="C19" s="727">
        <f>transport!B14</f>
        <v>135.84434359579834</v>
      </c>
      <c r="D19" s="727">
        <f>transport!C14</f>
        <v>0</v>
      </c>
      <c r="E19" s="727">
        <f>transport!D14</f>
        <v>464.74659483777344</v>
      </c>
      <c r="F19" s="727">
        <f>transport!E14</f>
        <v>690.23295010573634</v>
      </c>
      <c r="G19" s="727">
        <f>transport!F14</f>
        <v>0</v>
      </c>
      <c r="H19" s="727">
        <f>transport!G14</f>
        <v>243118.87318580903</v>
      </c>
      <c r="I19" s="727">
        <f>transport!H14</f>
        <v>53459.295170305668</v>
      </c>
      <c r="J19" s="727">
        <f>transport!I14</f>
        <v>0</v>
      </c>
      <c r="K19" s="727">
        <f>transport!J14</f>
        <v>0</v>
      </c>
      <c r="L19" s="727">
        <f>transport!K14</f>
        <v>0</v>
      </c>
      <c r="M19" s="727">
        <f>transport!L14</f>
        <v>0</v>
      </c>
      <c r="N19" s="727">
        <f>transport!M14</f>
        <v>15791.009265118255</v>
      </c>
      <c r="O19" s="727">
        <f>transport!N14</f>
        <v>0</v>
      </c>
      <c r="P19" s="727">
        <f>transport!O14</f>
        <v>0</v>
      </c>
      <c r="Q19" s="728">
        <f>transport!P14</f>
        <v>0</v>
      </c>
      <c r="R19" s="729">
        <f>SUM(C19:Q19)</f>
        <v>313660.00150977226</v>
      </c>
      <c r="S19" s="67"/>
    </row>
    <row r="20" spans="1:19" s="474" customFormat="1" ht="15.75" thickBot="1">
      <c r="A20" s="730" t="s">
        <v>230</v>
      </c>
      <c r="B20" s="878"/>
      <c r="C20" s="873">
        <f>SUM(C17:C19)</f>
        <v>135.84434359579834</v>
      </c>
      <c r="D20" s="731">
        <f t="shared" ref="D20:R20" si="1">SUM(D17:D19)</f>
        <v>0</v>
      </c>
      <c r="E20" s="731">
        <f t="shared" si="1"/>
        <v>464.74659483777344</v>
      </c>
      <c r="F20" s="731">
        <f t="shared" si="1"/>
        <v>690.23295010573634</v>
      </c>
      <c r="G20" s="731">
        <f t="shared" si="1"/>
        <v>0</v>
      </c>
      <c r="H20" s="731">
        <f t="shared" si="1"/>
        <v>246811.51635282155</v>
      </c>
      <c r="I20" s="731">
        <f t="shared" si="1"/>
        <v>53459.295170305668</v>
      </c>
      <c r="J20" s="731">
        <f t="shared" si="1"/>
        <v>0</v>
      </c>
      <c r="K20" s="731">
        <f t="shared" si="1"/>
        <v>0</v>
      </c>
      <c r="L20" s="731">
        <f t="shared" si="1"/>
        <v>0</v>
      </c>
      <c r="M20" s="731">
        <f t="shared" si="1"/>
        <v>0</v>
      </c>
      <c r="N20" s="731">
        <f t="shared" si="1"/>
        <v>16000.735095549244</v>
      </c>
      <c r="O20" s="731">
        <f t="shared" si="1"/>
        <v>0</v>
      </c>
      <c r="P20" s="731">
        <f t="shared" si="1"/>
        <v>0</v>
      </c>
      <c r="Q20" s="732">
        <f t="shared" si="1"/>
        <v>0</v>
      </c>
      <c r="R20" s="733">
        <f t="shared" si="1"/>
        <v>317562.37050721579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2295.9129258699809</v>
      </c>
      <c r="D22" s="727">
        <f>+landbouw!C8</f>
        <v>0</v>
      </c>
      <c r="E22" s="727">
        <f>+landbouw!D8</f>
        <v>6732.8681498321967</v>
      </c>
      <c r="F22" s="727">
        <f>+landbouw!E8</f>
        <v>67.483893418790771</v>
      </c>
      <c r="G22" s="727">
        <f>+landbouw!F8</f>
        <v>9564.6491845516903</v>
      </c>
      <c r="H22" s="727">
        <f>+landbouw!G8</f>
        <v>0</v>
      </c>
      <c r="I22" s="727">
        <f>+landbouw!H8</f>
        <v>0</v>
      </c>
      <c r="J22" s="727">
        <f>+landbouw!I8</f>
        <v>0</v>
      </c>
      <c r="K22" s="727">
        <f>+landbouw!J8</f>
        <v>332.6284776640851</v>
      </c>
      <c r="L22" s="727">
        <f>+landbouw!K8</f>
        <v>0</v>
      </c>
      <c r="M22" s="727">
        <f>+landbouw!L8</f>
        <v>0</v>
      </c>
      <c r="N22" s="727">
        <f>+landbouw!M8</f>
        <v>0</v>
      </c>
      <c r="O22" s="727">
        <f>+landbouw!N8</f>
        <v>0</v>
      </c>
      <c r="P22" s="727">
        <f>+landbouw!O8</f>
        <v>0</v>
      </c>
      <c r="Q22" s="728">
        <f>+landbouw!P8</f>
        <v>0</v>
      </c>
      <c r="R22" s="729">
        <f>SUM(C22:Q22)</f>
        <v>18993.542631336746</v>
      </c>
      <c r="S22" s="67"/>
    </row>
    <row r="23" spans="1:19" s="474" customFormat="1" ht="17.25" thickTop="1" thickBot="1">
      <c r="A23" s="734" t="s">
        <v>116</v>
      </c>
      <c r="B23" s="864"/>
      <c r="C23" s="735">
        <f ca="1">C20+C15+C22</f>
        <v>123611.20236008747</v>
      </c>
      <c r="D23" s="735">
        <f t="shared" ref="D23:Q23" ca="1" si="2">D20+D15+D22</f>
        <v>0</v>
      </c>
      <c r="E23" s="735">
        <f t="shared" ca="1" si="2"/>
        <v>156797.4487062869</v>
      </c>
      <c r="F23" s="735">
        <f t="shared" si="2"/>
        <v>15600.064991873325</v>
      </c>
      <c r="G23" s="735">
        <f t="shared" ca="1" si="2"/>
        <v>121583.95184160884</v>
      </c>
      <c r="H23" s="735">
        <f t="shared" si="2"/>
        <v>246811.51635282155</v>
      </c>
      <c r="I23" s="735">
        <f t="shared" si="2"/>
        <v>53459.295170305668</v>
      </c>
      <c r="J23" s="735">
        <f t="shared" si="2"/>
        <v>0</v>
      </c>
      <c r="K23" s="735">
        <f t="shared" si="2"/>
        <v>418.42992857049001</v>
      </c>
      <c r="L23" s="735">
        <f t="shared" si="2"/>
        <v>0</v>
      </c>
      <c r="M23" s="735">
        <f t="shared" ca="1" si="2"/>
        <v>0</v>
      </c>
      <c r="N23" s="735">
        <f t="shared" si="2"/>
        <v>16000.735095549244</v>
      </c>
      <c r="O23" s="735">
        <f t="shared" ca="1" si="2"/>
        <v>35457.196287163591</v>
      </c>
      <c r="P23" s="735">
        <f t="shared" si="2"/>
        <v>387.70666666666665</v>
      </c>
      <c r="Q23" s="736">
        <f t="shared" si="2"/>
        <v>2021.0666666666666</v>
      </c>
      <c r="R23" s="737">
        <f ca="1">R20+R15+R22</f>
        <v>772148.61406760034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8156.4484881279059</v>
      </c>
      <c r="D36" s="718">
        <f ca="1">tertiair!C20</f>
        <v>0</v>
      </c>
      <c r="E36" s="718">
        <f ca="1">tertiair!D20</f>
        <v>9948.8789708160257</v>
      </c>
      <c r="F36" s="718">
        <f>tertiair!E20</f>
        <v>143.82830420080833</v>
      </c>
      <c r="G36" s="718">
        <f ca="1">tertiair!F20</f>
        <v>1805.9802226082602</v>
      </c>
      <c r="H36" s="718">
        <f>tertiair!G20</f>
        <v>0</v>
      </c>
      <c r="I36" s="718">
        <f>tertiair!H20</f>
        <v>0</v>
      </c>
      <c r="J36" s="718">
        <f>tertiair!I20</f>
        <v>0</v>
      </c>
      <c r="K36" s="718">
        <f>tertiair!J20</f>
        <v>3.7630626567089015E-2</v>
      </c>
      <c r="L36" s="718">
        <f>tertiair!K20</f>
        <v>0</v>
      </c>
      <c r="M36" s="718">
        <f ca="1">tertiair!L20</f>
        <v>0</v>
      </c>
      <c r="N36" s="718">
        <f>tertiair!M20</f>
        <v>0</v>
      </c>
      <c r="O36" s="718">
        <f ca="1">tertiair!N20</f>
        <v>0</v>
      </c>
      <c r="P36" s="718">
        <f>tertiair!O20</f>
        <v>0</v>
      </c>
      <c r="Q36" s="828">
        <f>tertiair!P20</f>
        <v>0</v>
      </c>
      <c r="R36" s="917">
        <f ca="1">SUM(C36:Q36)</f>
        <v>20055.173616379569</v>
      </c>
    </row>
    <row r="37" spans="1:18">
      <c r="A37" s="885" t="s">
        <v>225</v>
      </c>
      <c r="B37" s="892"/>
      <c r="C37" s="718">
        <f ca="1">huishoudens!B12</f>
        <v>10538.443468933358</v>
      </c>
      <c r="D37" s="718">
        <f ca="1">huishoudens!C12</f>
        <v>0</v>
      </c>
      <c r="E37" s="718">
        <f>huishoudens!D12</f>
        <v>17638.01474419099</v>
      </c>
      <c r="F37" s="718">
        <f>huishoudens!E12</f>
        <v>2748.2797237767072</v>
      </c>
      <c r="G37" s="718">
        <f>huishoudens!F12</f>
        <v>26195.75146662011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57120.489403521162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6158.1891801581241</v>
      </c>
      <c r="D39" s="718">
        <f ca="1">industrie!C22</f>
        <v>0</v>
      </c>
      <c r="E39" s="718">
        <f>industrie!D22</f>
        <v>2632.2727452395998</v>
      </c>
      <c r="F39" s="718">
        <f>industrie!E22</f>
        <v>477.10500169766226</v>
      </c>
      <c r="G39" s="718">
        <f>industrie!F22</f>
        <v>1907.4221202058936</v>
      </c>
      <c r="H39" s="718">
        <f>industrie!G22</f>
        <v>0</v>
      </c>
      <c r="I39" s="718">
        <f>industrie!H22</f>
        <v>0</v>
      </c>
      <c r="J39" s="718">
        <f>industrie!I22</f>
        <v>0</v>
      </c>
      <c r="K39" s="718">
        <f>industrie!J22</f>
        <v>30.336082994300256</v>
      </c>
      <c r="L39" s="718">
        <f>industrie!K22</f>
        <v>0</v>
      </c>
      <c r="M39" s="718">
        <f>industrie!L22</f>
        <v>0</v>
      </c>
      <c r="N39" s="718">
        <f>industrie!M22</f>
        <v>0</v>
      </c>
      <c r="O39" s="718">
        <f>industrie!N22</f>
        <v>0</v>
      </c>
      <c r="P39" s="718">
        <f>industrie!O22</f>
        <v>0</v>
      </c>
      <c r="Q39" s="828">
        <f>industrie!P22</f>
        <v>0</v>
      </c>
      <c r="R39" s="918">
        <f ca="1">SUM(C39:Q39)</f>
        <v>11205.32513029558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24853.081137219386</v>
      </c>
      <c r="D41" s="763">
        <f t="shared" ref="D41:R41" ca="1" si="4">SUM(D35:D40)</f>
        <v>0</v>
      </c>
      <c r="E41" s="763">
        <f t="shared" ca="1" si="4"/>
        <v>30219.166460246615</v>
      </c>
      <c r="F41" s="763">
        <f t="shared" si="4"/>
        <v>3369.2130296751779</v>
      </c>
      <c r="G41" s="763">
        <f t="shared" ca="1" si="4"/>
        <v>29909.153809434265</v>
      </c>
      <c r="H41" s="763">
        <f t="shared" si="4"/>
        <v>0</v>
      </c>
      <c r="I41" s="763">
        <f t="shared" si="4"/>
        <v>0</v>
      </c>
      <c r="J41" s="763">
        <f t="shared" si="4"/>
        <v>0</v>
      </c>
      <c r="K41" s="763">
        <f t="shared" si="4"/>
        <v>30.373713620867345</v>
      </c>
      <c r="L41" s="763">
        <f t="shared" si="4"/>
        <v>0</v>
      </c>
      <c r="M41" s="763">
        <f t="shared" ca="1" si="4"/>
        <v>0</v>
      </c>
      <c r="N41" s="763">
        <f t="shared" si="4"/>
        <v>0</v>
      </c>
      <c r="O41" s="763">
        <f t="shared" ca="1" si="4"/>
        <v>0</v>
      </c>
      <c r="P41" s="763">
        <f t="shared" si="4"/>
        <v>0</v>
      </c>
      <c r="Q41" s="764">
        <f t="shared" si="4"/>
        <v>0</v>
      </c>
      <c r="R41" s="765">
        <f t="shared" ca="1" si="4"/>
        <v>88380.98815019631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985.93572559234337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985.93572559234337</v>
      </c>
    </row>
    <row r="45" spans="1:18" ht="15" thickBot="1">
      <c r="A45" s="888" t="s">
        <v>307</v>
      </c>
      <c r="B45" s="898"/>
      <c r="C45" s="727">
        <f ca="1">transport!B18</f>
        <v>27.860752216631262</v>
      </c>
      <c r="D45" s="727">
        <f>transport!C18</f>
        <v>0</v>
      </c>
      <c r="E45" s="727">
        <f>transport!D18</f>
        <v>93.878812157230243</v>
      </c>
      <c r="F45" s="727">
        <f>transport!E18</f>
        <v>156.68287967400215</v>
      </c>
      <c r="G45" s="727">
        <f>transport!F18</f>
        <v>0</v>
      </c>
      <c r="H45" s="727">
        <f>transport!G18</f>
        <v>64912.739140611018</v>
      </c>
      <c r="I45" s="727">
        <f>transport!H18</f>
        <v>13311.364497406112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78502.526082065</v>
      </c>
    </row>
    <row r="46" spans="1:18" ht="15.75" thickBot="1">
      <c r="A46" s="886" t="s">
        <v>230</v>
      </c>
      <c r="B46" s="899"/>
      <c r="C46" s="763">
        <f t="shared" ref="C46:R46" ca="1" si="5">SUM(C43:C45)</f>
        <v>27.860752216631262</v>
      </c>
      <c r="D46" s="763">
        <f t="shared" ca="1" si="5"/>
        <v>0</v>
      </c>
      <c r="E46" s="763">
        <f t="shared" si="5"/>
        <v>93.878812157230243</v>
      </c>
      <c r="F46" s="763">
        <f t="shared" si="5"/>
        <v>156.68287967400215</v>
      </c>
      <c r="G46" s="763">
        <f t="shared" si="5"/>
        <v>0</v>
      </c>
      <c r="H46" s="763">
        <f t="shared" si="5"/>
        <v>65898.674866203364</v>
      </c>
      <c r="I46" s="763">
        <f t="shared" si="5"/>
        <v>13311.364497406112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79488.461807657339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470.87614725389938</v>
      </c>
      <c r="D48" s="718">
        <f ca="1">+landbouw!C12</f>
        <v>0</v>
      </c>
      <c r="E48" s="718">
        <f>+landbouw!D12</f>
        <v>1360.0393662661038</v>
      </c>
      <c r="F48" s="718">
        <f>+landbouw!E12</f>
        <v>15.318843806065505</v>
      </c>
      <c r="G48" s="718">
        <f>+landbouw!F12</f>
        <v>2553.7613322753014</v>
      </c>
      <c r="H48" s="718">
        <f>+landbouw!G12</f>
        <v>0</v>
      </c>
      <c r="I48" s="718">
        <f>+landbouw!H12</f>
        <v>0</v>
      </c>
      <c r="J48" s="718">
        <f>+landbouw!I12</f>
        <v>0</v>
      </c>
      <c r="K48" s="718">
        <f>+landbouw!J12</f>
        <v>117.75048109308612</v>
      </c>
      <c r="L48" s="718">
        <f>+landbouw!K12</f>
        <v>0</v>
      </c>
      <c r="M48" s="718">
        <f>+landbouw!L12</f>
        <v>0</v>
      </c>
      <c r="N48" s="718">
        <f>+landbouw!M12</f>
        <v>0</v>
      </c>
      <c r="O48" s="718">
        <f>+landbouw!N12</f>
        <v>0</v>
      </c>
      <c r="P48" s="718">
        <f>+landbouw!O12</f>
        <v>0</v>
      </c>
      <c r="Q48" s="719">
        <f>+landbouw!P12</f>
        <v>0</v>
      </c>
      <c r="R48" s="761">
        <f ca="1">SUM(C48:Q48)</f>
        <v>4517.7461706944559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25351.818036689918</v>
      </c>
      <c r="D53" s="773">
        <f t="shared" ref="D53:Q53" ca="1" si="6">D41+D46+D48</f>
        <v>0</v>
      </c>
      <c r="E53" s="773">
        <f t="shared" ca="1" si="6"/>
        <v>31673.084638669949</v>
      </c>
      <c r="F53" s="773">
        <f t="shared" si="6"/>
        <v>3541.2147531552459</v>
      </c>
      <c r="G53" s="773">
        <f t="shared" ca="1" si="6"/>
        <v>32462.915141709567</v>
      </c>
      <c r="H53" s="773">
        <f t="shared" si="6"/>
        <v>65898.674866203364</v>
      </c>
      <c r="I53" s="773">
        <f t="shared" si="6"/>
        <v>13311.364497406112</v>
      </c>
      <c r="J53" s="773">
        <f t="shared" si="6"/>
        <v>0</v>
      </c>
      <c r="K53" s="773">
        <f t="shared" si="6"/>
        <v>148.12419471395347</v>
      </c>
      <c r="L53" s="773">
        <f t="shared" si="6"/>
        <v>0</v>
      </c>
      <c r="M53" s="773">
        <f t="shared" ca="1" si="6"/>
        <v>0</v>
      </c>
      <c r="N53" s="773">
        <f t="shared" si="6"/>
        <v>0</v>
      </c>
      <c r="O53" s="773">
        <f t="shared" ca="1" si="6"/>
        <v>0</v>
      </c>
      <c r="P53" s="773">
        <f>P41+P46+P48</f>
        <v>0</v>
      </c>
      <c r="Q53" s="774">
        <f t="shared" si="6"/>
        <v>0</v>
      </c>
      <c r="R53" s="775">
        <f ca="1">R41+R46+R48</f>
        <v>172387.19612854809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0.20509320799937228</v>
      </c>
      <c r="D55" s="836">
        <f t="shared" ca="1" si="7"/>
        <v>0</v>
      </c>
      <c r="E55" s="836">
        <f t="shared" ca="1" si="7"/>
        <v>0.20199999999999996</v>
      </c>
      <c r="F55" s="836">
        <f t="shared" si="7"/>
        <v>0.22700000000000006</v>
      </c>
      <c r="G55" s="836">
        <f t="shared" ca="1" si="7"/>
        <v>0.26700000000000007</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24.187102556313992</v>
      </c>
      <c r="C65" s="795">
        <f>'lokale energieproductie'!B5</f>
        <v>24.187102556313992</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8872.9064942283603</v>
      </c>
      <c r="C66" s="795">
        <f>'lokale energieproductie'!B6</f>
        <v>8872.9064942283603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8897.0935967846744</v>
      </c>
      <c r="C69" s="803">
        <f>SUM(C64:C68)</f>
        <v>8897.0935967846744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51383.678531985381</v>
      </c>
      <c r="C4" s="478">
        <f>huishoudens!C8</f>
        <v>0</v>
      </c>
      <c r="D4" s="478">
        <f>huishoudens!D8</f>
        <v>87316.904674212827</v>
      </c>
      <c r="E4" s="478">
        <f>huishoudens!E8</f>
        <v>12106.959135580208</v>
      </c>
      <c r="F4" s="478">
        <f>huishoudens!F8</f>
        <v>98111.428713932983</v>
      </c>
      <c r="G4" s="478">
        <f>huishoudens!G8</f>
        <v>0</v>
      </c>
      <c r="H4" s="478">
        <f>huishoudens!H8</f>
        <v>0</v>
      </c>
      <c r="I4" s="478">
        <f>huishoudens!I8</f>
        <v>0</v>
      </c>
      <c r="J4" s="478">
        <f>huishoudens!J8</f>
        <v>0</v>
      </c>
      <c r="K4" s="478">
        <f>huishoudens!K8</f>
        <v>0</v>
      </c>
      <c r="L4" s="478">
        <f>huishoudens!L8</f>
        <v>0</v>
      </c>
      <c r="M4" s="478">
        <f>huishoudens!M8</f>
        <v>0</v>
      </c>
      <c r="N4" s="478">
        <f>huishoudens!N8</f>
        <v>19043.012071473437</v>
      </c>
      <c r="O4" s="478">
        <f>huishoudens!O8</f>
        <v>381.45333333333332</v>
      </c>
      <c r="P4" s="479">
        <f>huishoudens!P8</f>
        <v>1925.7333333333333</v>
      </c>
      <c r="Q4" s="480">
        <f>SUM(B4:P4)</f>
        <v>270269.16979385144</v>
      </c>
    </row>
    <row r="5" spans="1:17">
      <c r="A5" s="477" t="s">
        <v>156</v>
      </c>
      <c r="B5" s="478">
        <f ca="1">tertiair!B16</f>
        <v>37898.477489045457</v>
      </c>
      <c r="C5" s="478">
        <f ca="1">tertiair!C16</f>
        <v>0</v>
      </c>
      <c r="D5" s="478">
        <f ca="1">tertiair!D16</f>
        <v>49251.876093148639</v>
      </c>
      <c r="E5" s="478">
        <f>tertiair!E16</f>
        <v>633.60486432074151</v>
      </c>
      <c r="F5" s="478">
        <f ca="1">tertiair!F16</f>
        <v>6763.9708711919857</v>
      </c>
      <c r="G5" s="478">
        <f>tertiair!G16</f>
        <v>0</v>
      </c>
      <c r="H5" s="478">
        <f>tertiair!H16</f>
        <v>0</v>
      </c>
      <c r="I5" s="478">
        <f>tertiair!I16</f>
        <v>0</v>
      </c>
      <c r="J5" s="478">
        <f>tertiair!J16</f>
        <v>0.10630120499177688</v>
      </c>
      <c r="K5" s="478">
        <f>tertiair!K16</f>
        <v>0</v>
      </c>
      <c r="L5" s="478">
        <f ca="1">tertiair!L16</f>
        <v>0</v>
      </c>
      <c r="M5" s="478">
        <f>tertiair!M16</f>
        <v>0</v>
      </c>
      <c r="N5" s="478">
        <f ca="1">tertiair!N16</f>
        <v>4252.6749163887935</v>
      </c>
      <c r="O5" s="478">
        <f>tertiair!O16</f>
        <v>6.2533333333333339</v>
      </c>
      <c r="P5" s="479">
        <f>tertiair!P16</f>
        <v>95.333333333333343</v>
      </c>
      <c r="Q5" s="477">
        <f t="shared" ref="Q5:Q13" ca="1" si="0">SUM(B5:P5)</f>
        <v>98902.29720196726</v>
      </c>
    </row>
    <row r="6" spans="1:17">
      <c r="A6" s="477" t="s">
        <v>194</v>
      </c>
      <c r="B6" s="478">
        <f>'openbare verlichting'!B8</f>
        <v>1870.9939999999999</v>
      </c>
      <c r="C6" s="478"/>
      <c r="D6" s="478"/>
      <c r="E6" s="478"/>
      <c r="F6" s="478"/>
      <c r="G6" s="478"/>
      <c r="H6" s="478"/>
      <c r="I6" s="478"/>
      <c r="J6" s="478"/>
      <c r="K6" s="478"/>
      <c r="L6" s="478"/>
      <c r="M6" s="478"/>
      <c r="N6" s="478"/>
      <c r="O6" s="478"/>
      <c r="P6" s="479"/>
      <c r="Q6" s="477">
        <f t="shared" si="0"/>
        <v>1870.9939999999999</v>
      </c>
    </row>
    <row r="7" spans="1:17">
      <c r="A7" s="477" t="s">
        <v>112</v>
      </c>
      <c r="B7" s="478">
        <f>landbouw!B8</f>
        <v>2295.9129258699809</v>
      </c>
      <c r="C7" s="478">
        <f>landbouw!C8</f>
        <v>0</v>
      </c>
      <c r="D7" s="478">
        <f>landbouw!D8</f>
        <v>6732.8681498321967</v>
      </c>
      <c r="E7" s="478">
        <f>landbouw!E8</f>
        <v>67.483893418790771</v>
      </c>
      <c r="F7" s="478">
        <f>landbouw!F8</f>
        <v>9564.6491845516903</v>
      </c>
      <c r="G7" s="478">
        <f>landbouw!G8</f>
        <v>0</v>
      </c>
      <c r="H7" s="478">
        <f>landbouw!H8</f>
        <v>0</v>
      </c>
      <c r="I7" s="478">
        <f>landbouw!I8</f>
        <v>0</v>
      </c>
      <c r="J7" s="478">
        <f>landbouw!J8</f>
        <v>332.6284776640851</v>
      </c>
      <c r="K7" s="478">
        <f>landbouw!K8</f>
        <v>0</v>
      </c>
      <c r="L7" s="478">
        <f>landbouw!L8</f>
        <v>0</v>
      </c>
      <c r="M7" s="478">
        <f>landbouw!M8</f>
        <v>0</v>
      </c>
      <c r="N7" s="478">
        <f>landbouw!N8</f>
        <v>0</v>
      </c>
      <c r="O7" s="478">
        <f>landbouw!O8</f>
        <v>0</v>
      </c>
      <c r="P7" s="479">
        <f>landbouw!P8</f>
        <v>0</v>
      </c>
      <c r="Q7" s="477">
        <f t="shared" si="0"/>
        <v>18993.542631336746</v>
      </c>
    </row>
    <row r="8" spans="1:17">
      <c r="A8" s="477" t="s">
        <v>635</v>
      </c>
      <c r="B8" s="478">
        <f>industrie!B18</f>
        <v>30026.295069590858</v>
      </c>
      <c r="C8" s="478">
        <f>industrie!C18</f>
        <v>0</v>
      </c>
      <c r="D8" s="478">
        <f>industrie!D18</f>
        <v>13031.053194255443</v>
      </c>
      <c r="E8" s="478">
        <f>industrie!E18</f>
        <v>2101.7841484478513</v>
      </c>
      <c r="F8" s="478">
        <f>industrie!F18</f>
        <v>7143.9030719321854</v>
      </c>
      <c r="G8" s="478">
        <f>industrie!G18</f>
        <v>0</v>
      </c>
      <c r="H8" s="478">
        <f>industrie!H18</f>
        <v>0</v>
      </c>
      <c r="I8" s="478">
        <f>industrie!I18</f>
        <v>0</v>
      </c>
      <c r="J8" s="478">
        <f>industrie!J18</f>
        <v>85.695149701413158</v>
      </c>
      <c r="K8" s="478">
        <f>industrie!K18</f>
        <v>0</v>
      </c>
      <c r="L8" s="478">
        <f>industrie!L18</f>
        <v>0</v>
      </c>
      <c r="M8" s="478">
        <f>industrie!M18</f>
        <v>0</v>
      </c>
      <c r="N8" s="478">
        <f>industrie!N18</f>
        <v>12161.509299301359</v>
      </c>
      <c r="O8" s="478">
        <f>industrie!O18</f>
        <v>0</v>
      </c>
      <c r="P8" s="479">
        <f>industrie!P18</f>
        <v>0</v>
      </c>
      <c r="Q8" s="477">
        <f t="shared" si="0"/>
        <v>64550.23993322911</v>
      </c>
    </row>
    <row r="9" spans="1:17" s="483" customFormat="1">
      <c r="A9" s="481" t="s">
        <v>561</v>
      </c>
      <c r="B9" s="482">
        <f>transport!B14</f>
        <v>135.84434359579834</v>
      </c>
      <c r="C9" s="482"/>
      <c r="D9" s="482">
        <f>transport!D14</f>
        <v>464.74659483777344</v>
      </c>
      <c r="E9" s="482">
        <f>transport!E14</f>
        <v>690.23295010573634</v>
      </c>
      <c r="F9" s="482"/>
      <c r="G9" s="482">
        <f>transport!G14</f>
        <v>243118.87318580903</v>
      </c>
      <c r="H9" s="482">
        <f>transport!H14</f>
        <v>53459.295170305668</v>
      </c>
      <c r="I9" s="482"/>
      <c r="J9" s="482"/>
      <c r="K9" s="482"/>
      <c r="L9" s="482"/>
      <c r="M9" s="482">
        <f>transport!M14</f>
        <v>15791.009265118255</v>
      </c>
      <c r="N9" s="482"/>
      <c r="O9" s="482"/>
      <c r="P9" s="482"/>
      <c r="Q9" s="481">
        <f>SUM(B9:P9)</f>
        <v>313660.00150977226</v>
      </c>
    </row>
    <row r="10" spans="1:17">
      <c r="A10" s="477" t="s">
        <v>551</v>
      </c>
      <c r="B10" s="478">
        <f>transport!B54</f>
        <v>0</v>
      </c>
      <c r="C10" s="478"/>
      <c r="D10" s="478">
        <f>transport!D54</f>
        <v>0</v>
      </c>
      <c r="E10" s="478"/>
      <c r="F10" s="478"/>
      <c r="G10" s="478">
        <f>transport!G54</f>
        <v>3692.6431670125216</v>
      </c>
      <c r="H10" s="478"/>
      <c r="I10" s="478"/>
      <c r="J10" s="478"/>
      <c r="K10" s="478"/>
      <c r="L10" s="478"/>
      <c r="M10" s="478">
        <f>transport!M54</f>
        <v>209.72583043098948</v>
      </c>
      <c r="N10" s="478"/>
      <c r="O10" s="478"/>
      <c r="P10" s="479"/>
      <c r="Q10" s="477">
        <f t="shared" si="0"/>
        <v>3902.368997443511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123611.2023600875</v>
      </c>
      <c r="C14" s="488">
        <f t="shared" ref="C14:Q14" ca="1" si="1">SUM(C4:C13)</f>
        <v>0</v>
      </c>
      <c r="D14" s="488">
        <f t="shared" ca="1" si="1"/>
        <v>156797.44870628687</v>
      </c>
      <c r="E14" s="488">
        <f t="shared" si="1"/>
        <v>15600.064991873325</v>
      </c>
      <c r="F14" s="488">
        <f t="shared" ca="1" si="1"/>
        <v>121583.95184160884</v>
      </c>
      <c r="G14" s="488">
        <f t="shared" si="1"/>
        <v>246811.51635282155</v>
      </c>
      <c r="H14" s="488">
        <f t="shared" si="1"/>
        <v>53459.295170305668</v>
      </c>
      <c r="I14" s="488">
        <f t="shared" si="1"/>
        <v>0</v>
      </c>
      <c r="J14" s="488">
        <f t="shared" si="1"/>
        <v>418.42992857049001</v>
      </c>
      <c r="K14" s="488">
        <f t="shared" si="1"/>
        <v>0</v>
      </c>
      <c r="L14" s="488">
        <f t="shared" ca="1" si="1"/>
        <v>0</v>
      </c>
      <c r="M14" s="488">
        <f t="shared" si="1"/>
        <v>16000.735095549244</v>
      </c>
      <c r="N14" s="488">
        <f t="shared" ca="1" si="1"/>
        <v>35457.196287163591</v>
      </c>
      <c r="O14" s="488">
        <f t="shared" si="1"/>
        <v>387.70666666666665</v>
      </c>
      <c r="P14" s="489">
        <f t="shared" si="1"/>
        <v>2021.0666666666666</v>
      </c>
      <c r="Q14" s="489">
        <f t="shared" ca="1" si="1"/>
        <v>772148.61406760034</v>
      </c>
    </row>
    <row r="16" spans="1:17">
      <c r="A16" s="491" t="s">
        <v>556</v>
      </c>
      <c r="B16" s="841">
        <f ca="1">huishoudens!B10</f>
        <v>0.20509320799937228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10538.443468933358</v>
      </c>
      <c r="C21" s="478">
        <f t="shared" ref="C21:C28" ca="1" si="3">C4*$C$16</f>
        <v>0</v>
      </c>
      <c r="D21" s="478">
        <f t="shared" ref="D21:D30" si="4">D4*$D$16</f>
        <v>17638.01474419099</v>
      </c>
      <c r="E21" s="478">
        <f t="shared" ref="E21:E30" si="5">E4*$E$16</f>
        <v>2748.2797237767072</v>
      </c>
      <c r="F21" s="478">
        <f t="shared" ref="F21:F28" si="6">F4*$F$16</f>
        <v>26195.75146662011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57120.489403521162</v>
      </c>
    </row>
    <row r="22" spans="1:17">
      <c r="A22" s="477" t="s">
        <v>156</v>
      </c>
      <c r="B22" s="478">
        <f t="shared" ca="1" si="2"/>
        <v>7772.7203265203279</v>
      </c>
      <c r="C22" s="478">
        <f t="shared" ca="1" si="3"/>
        <v>0</v>
      </c>
      <c r="D22" s="478">
        <f t="shared" ca="1" si="4"/>
        <v>9948.8789708160257</v>
      </c>
      <c r="E22" s="478">
        <f t="shared" si="5"/>
        <v>143.82830420080833</v>
      </c>
      <c r="F22" s="478">
        <f t="shared" ca="1" si="6"/>
        <v>1805.9802226082602</v>
      </c>
      <c r="G22" s="478">
        <f t="shared" si="7"/>
        <v>0</v>
      </c>
      <c r="H22" s="478">
        <f t="shared" si="8"/>
        <v>0</v>
      </c>
      <c r="I22" s="478">
        <f t="shared" si="9"/>
        <v>0</v>
      </c>
      <c r="J22" s="478">
        <f t="shared" si="10"/>
        <v>3.7630626567089015E-2</v>
      </c>
      <c r="K22" s="478">
        <f t="shared" si="11"/>
        <v>0</v>
      </c>
      <c r="L22" s="478">
        <f t="shared" ca="1" si="12"/>
        <v>0</v>
      </c>
      <c r="M22" s="478">
        <f t="shared" si="13"/>
        <v>0</v>
      </c>
      <c r="N22" s="478">
        <f t="shared" ca="1" si="14"/>
        <v>0</v>
      </c>
      <c r="O22" s="478">
        <f t="shared" si="15"/>
        <v>0</v>
      </c>
      <c r="P22" s="479">
        <f t="shared" si="16"/>
        <v>0</v>
      </c>
      <c r="Q22" s="477">
        <f t="shared" ref="Q22:Q30" ca="1" si="17">SUM(B22:P22)</f>
        <v>19671.445454771991</v>
      </c>
    </row>
    <row r="23" spans="1:17">
      <c r="A23" s="477" t="s">
        <v>194</v>
      </c>
      <c r="B23" s="478">
        <f t="shared" ca="1" si="2"/>
        <v>383.72816160757753</v>
      </c>
      <c r="C23" s="478"/>
      <c r="D23" s="478"/>
      <c r="E23" s="478"/>
      <c r="F23" s="478"/>
      <c r="G23" s="478"/>
      <c r="H23" s="478"/>
      <c r="I23" s="478"/>
      <c r="J23" s="478"/>
      <c r="K23" s="478"/>
      <c r="L23" s="478"/>
      <c r="M23" s="478"/>
      <c r="N23" s="478"/>
      <c r="O23" s="478"/>
      <c r="P23" s="479"/>
      <c r="Q23" s="477">
        <f t="shared" ca="1" si="17"/>
        <v>383.72816160757753</v>
      </c>
    </row>
    <row r="24" spans="1:17">
      <c r="A24" s="477" t="s">
        <v>112</v>
      </c>
      <c r="B24" s="478">
        <f t="shared" ca="1" si="2"/>
        <v>470.87614725389938</v>
      </c>
      <c r="C24" s="478">
        <f t="shared" ca="1" si="3"/>
        <v>0</v>
      </c>
      <c r="D24" s="478">
        <f t="shared" si="4"/>
        <v>1360.0393662661038</v>
      </c>
      <c r="E24" s="478">
        <f t="shared" si="5"/>
        <v>15.318843806065505</v>
      </c>
      <c r="F24" s="478">
        <f t="shared" si="6"/>
        <v>2553.7613322753014</v>
      </c>
      <c r="G24" s="478">
        <f t="shared" si="7"/>
        <v>0</v>
      </c>
      <c r="H24" s="478">
        <f t="shared" si="8"/>
        <v>0</v>
      </c>
      <c r="I24" s="478">
        <f t="shared" si="9"/>
        <v>0</v>
      </c>
      <c r="J24" s="478">
        <f t="shared" si="10"/>
        <v>117.75048109308612</v>
      </c>
      <c r="K24" s="478">
        <f t="shared" si="11"/>
        <v>0</v>
      </c>
      <c r="L24" s="478">
        <f t="shared" si="12"/>
        <v>0</v>
      </c>
      <c r="M24" s="478">
        <f t="shared" si="13"/>
        <v>0</v>
      </c>
      <c r="N24" s="478">
        <f t="shared" si="14"/>
        <v>0</v>
      </c>
      <c r="O24" s="478">
        <f t="shared" si="15"/>
        <v>0</v>
      </c>
      <c r="P24" s="479">
        <f t="shared" si="16"/>
        <v>0</v>
      </c>
      <c r="Q24" s="477">
        <f t="shared" ca="1" si="17"/>
        <v>4517.7461706944559</v>
      </c>
    </row>
    <row r="25" spans="1:17">
      <c r="A25" s="477" t="s">
        <v>635</v>
      </c>
      <c r="B25" s="478">
        <f t="shared" ca="1" si="2"/>
        <v>6158.1891801581241</v>
      </c>
      <c r="C25" s="478">
        <f t="shared" ca="1" si="3"/>
        <v>0</v>
      </c>
      <c r="D25" s="478">
        <f t="shared" si="4"/>
        <v>2632.2727452395998</v>
      </c>
      <c r="E25" s="478">
        <f t="shared" si="5"/>
        <v>477.10500169766226</v>
      </c>
      <c r="F25" s="478">
        <f t="shared" si="6"/>
        <v>1907.4221202058936</v>
      </c>
      <c r="G25" s="478">
        <f t="shared" si="7"/>
        <v>0</v>
      </c>
      <c r="H25" s="478">
        <f t="shared" si="8"/>
        <v>0</v>
      </c>
      <c r="I25" s="478">
        <f t="shared" si="9"/>
        <v>0</v>
      </c>
      <c r="J25" s="478">
        <f t="shared" si="10"/>
        <v>30.336082994300256</v>
      </c>
      <c r="K25" s="478">
        <f t="shared" si="11"/>
        <v>0</v>
      </c>
      <c r="L25" s="478">
        <f t="shared" si="12"/>
        <v>0</v>
      </c>
      <c r="M25" s="478">
        <f t="shared" si="13"/>
        <v>0</v>
      </c>
      <c r="N25" s="478">
        <f t="shared" si="14"/>
        <v>0</v>
      </c>
      <c r="O25" s="478">
        <f t="shared" si="15"/>
        <v>0</v>
      </c>
      <c r="P25" s="479">
        <f t="shared" si="16"/>
        <v>0</v>
      </c>
      <c r="Q25" s="477">
        <f t="shared" ca="1" si="17"/>
        <v>11205.32513029558</v>
      </c>
    </row>
    <row r="26" spans="1:17" s="483" customFormat="1">
      <c r="A26" s="481" t="s">
        <v>561</v>
      </c>
      <c r="B26" s="835">
        <f t="shared" ca="1" si="2"/>
        <v>27.860752216631262</v>
      </c>
      <c r="C26" s="482"/>
      <c r="D26" s="482">
        <f t="shared" si="4"/>
        <v>93.878812157230243</v>
      </c>
      <c r="E26" s="482">
        <f t="shared" si="5"/>
        <v>156.68287967400215</v>
      </c>
      <c r="F26" s="482"/>
      <c r="G26" s="482">
        <f t="shared" si="7"/>
        <v>64912.739140611018</v>
      </c>
      <c r="H26" s="482">
        <f t="shared" si="8"/>
        <v>13311.364497406112</v>
      </c>
      <c r="I26" s="482"/>
      <c r="J26" s="482"/>
      <c r="K26" s="482"/>
      <c r="L26" s="482"/>
      <c r="M26" s="482">
        <f t="shared" si="13"/>
        <v>0</v>
      </c>
      <c r="N26" s="482"/>
      <c r="O26" s="482"/>
      <c r="P26" s="493"/>
      <c r="Q26" s="481">
        <f t="shared" ca="1" si="17"/>
        <v>78502.526082065</v>
      </c>
    </row>
    <row r="27" spans="1:17">
      <c r="A27" s="477" t="s">
        <v>551</v>
      </c>
      <c r="B27" s="478">
        <f t="shared" ca="1" si="2"/>
        <v>0</v>
      </c>
      <c r="C27" s="478"/>
      <c r="D27" s="482">
        <f t="shared" si="4"/>
        <v>0</v>
      </c>
      <c r="E27" s="478"/>
      <c r="F27" s="478"/>
      <c r="G27" s="478">
        <f t="shared" si="7"/>
        <v>985.93572559234337</v>
      </c>
      <c r="H27" s="478"/>
      <c r="I27" s="478"/>
      <c r="J27" s="478"/>
      <c r="K27" s="478"/>
      <c r="L27" s="478"/>
      <c r="M27" s="478">
        <f t="shared" si="13"/>
        <v>0</v>
      </c>
      <c r="N27" s="478"/>
      <c r="O27" s="478"/>
      <c r="P27" s="479"/>
      <c r="Q27" s="477">
        <f t="shared" ca="1" si="17"/>
        <v>985.93572559234337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25351.818036689921</v>
      </c>
      <c r="C31" s="488">
        <f t="shared" ca="1" si="18"/>
        <v>0</v>
      </c>
      <c r="D31" s="488">
        <f t="shared" ca="1" si="18"/>
        <v>31673.084638669949</v>
      </c>
      <c r="E31" s="488">
        <f t="shared" si="18"/>
        <v>3541.2147531552455</v>
      </c>
      <c r="F31" s="488">
        <f t="shared" ca="1" si="18"/>
        <v>32462.915141709567</v>
      </c>
      <c r="G31" s="488">
        <f t="shared" si="18"/>
        <v>65898.674866203364</v>
      </c>
      <c r="H31" s="488">
        <f t="shared" si="18"/>
        <v>13311.364497406112</v>
      </c>
      <c r="I31" s="488">
        <f t="shared" si="18"/>
        <v>0</v>
      </c>
      <c r="J31" s="488">
        <f t="shared" si="18"/>
        <v>148.12419471395347</v>
      </c>
      <c r="K31" s="488">
        <f t="shared" si="18"/>
        <v>0</v>
      </c>
      <c r="L31" s="488">
        <f t="shared" ca="1" si="18"/>
        <v>0</v>
      </c>
      <c r="M31" s="488">
        <f t="shared" si="18"/>
        <v>0</v>
      </c>
      <c r="N31" s="488">
        <f t="shared" ca="1" si="18"/>
        <v>0</v>
      </c>
      <c r="O31" s="488">
        <f t="shared" si="18"/>
        <v>0</v>
      </c>
      <c r="P31" s="489">
        <f t="shared" si="18"/>
        <v>0</v>
      </c>
      <c r="Q31" s="489">
        <f t="shared" ca="1" si="18"/>
        <v>172387.19612854809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0.20509320799937228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0.20509320799937228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0.20509320799937228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2019-01-01T21:18:33Z</dcterms:modified>
</cp:coreProperties>
</file>