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D6" i="17"/>
  <c r="I8" i="18"/>
  <c r="J68" i="14" s="1"/>
  <c r="C16" i="15"/>
  <c r="D10" i="14"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L22" i="16"/>
  <c r="M39" i="14" s="1"/>
  <c r="E28" i="48"/>
  <c r="I20" i="15"/>
  <c r="J36" i="14" s="1"/>
  <c r="J41" s="1"/>
  <c r="J53"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Q41" i="14" l="1"/>
  <c r="Q53" s="1"/>
  <c r="Q55" s="1"/>
  <c r="Q15"/>
  <c r="Q23" s="1"/>
  <c r="H14" i="22"/>
  <c r="I19" i="14" s="1"/>
  <c r="I20" s="1"/>
  <c r="I23" s="1"/>
  <c r="H18"/>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F10" i="14" l="1"/>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F41" s="1"/>
  <c r="F53" s="1"/>
  <c r="K13"/>
  <c r="K15" s="1"/>
  <c r="K23" s="1"/>
  <c r="G13"/>
  <c r="G15" s="1"/>
  <c r="G23" s="1"/>
  <c r="N8" i="48"/>
  <c r="F8"/>
  <c r="F25" s="1"/>
  <c r="F31" s="1"/>
  <c r="F22" i="16"/>
  <c r="G39" i="14" s="1"/>
  <c r="G41" s="1"/>
  <c r="G53" s="1"/>
  <c r="O13"/>
  <c r="O15"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<sst xmlns="http://schemas.openxmlformats.org/spreadsheetml/2006/main" count="2099" uniqueCount="844">
  <si>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</si>
  <si>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</si>
  <si>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</si>
  <si>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</si>
  <si>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</si>
  <si>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</si>
  <si>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</si>
  <si>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</si>
  <si>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</si>
  <si>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</si>
  <si>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</si>
  <si>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</si>
  <si>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</si>
  <si>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</si>
  <si>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</si>
  <si>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</si>
  <si>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</si>
  <si>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</si>
  <si>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</si>
  <si>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</si>
  <si>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</si>
  <si>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</si>
  <si>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</si>
  <si>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</si>
  <si>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</si>
  <si>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</si>
  <si>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</si>
  <si>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</si>
  <si>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</si>
  <si>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</si>
  <si>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</si>
  <si>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</si>
  <si>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</si>
  <si>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</si>
  <si>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</si>
  <si>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</si>
  <si>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</si>
  <si>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</si>
  <si>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</si>
  <si>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</si>
  <si>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</si>
  <si>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</si>
  <si>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</si>
  <si>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</si>
  <si>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</si>
  <si>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</si>
  <si>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</si>
  <si>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</si>
  <si>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</si>
  <si>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</si>
  <si>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</si>
  <si>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</si>
  <si>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</si>
  <si>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</si>
  <si>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</si>
  <si>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</si>
  <si>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</si>
  <si>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</si>
  <si>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</si>
  <si>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</si>
  <si>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</si>
  <si>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</si>
  <si>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</si>
  <si>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</si>
  <si>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</si>
  <si>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</si>
  <si>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</si>
  <si>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</si>
  <si>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</si>
  <si>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</si>
  <si>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</si>
  <si>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</si>
  <si>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</si>
  <si>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</si>
  <si>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</si>
  <si>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</si>
  <si>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</si>
  <si>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</si>
  <si>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</si>
  <si>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</si>
  <si>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</si>
  <si>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</si>
  <si>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</si>
  <si>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</si>
  <si>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</si>
  <si>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</si>
  <si>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</si>
  <si>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</si>
  <si>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</si>
  <si>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</si>
  <si>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</si>
  <si>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</si>
  <si>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</si>
  <si>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</si>
  <si>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</si>
  <si>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</si>
  <si>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</si>
  <si>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</si>
  <si>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</si>
  <si>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</si>
  <si>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</si>
  <si>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</si>
  <si>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</si>
  <si>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</si>
  <si>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</si>
  <si>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</si>
  <si>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</si>
  <si>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</si>
  <si>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</si>
  <si>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</si>
  <si>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</si>
  <si>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</si>
  <si>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</si>
  <si>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</si>
  <si>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</si>
  <si>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</si>
  <si>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</si>
  <si>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</si>
  <si>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</si>
  <si>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</si>
  <si>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</si>
  <si>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</si>
  <si>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</si>
  <si>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</si>
  <si>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</si>
  <si>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</si>
  <si>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</si>
  <si>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</si>
  <si>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</si>
  <si>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</si>
  <si>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</si>
  <si>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</si>
  <si>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</si>
  <si>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</si>
  <si>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</si>
  <si>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</si>
  <si>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</si>
  <si>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</si>
  <si>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</si>
  <si>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</si>
  <si>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</si>
  <si>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</si>
  <si>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</si>
  <si>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</si>
  <si>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</si>
  <si>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</si>
  <si>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</si>
  <si>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</si>
  <si>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</si>
  <si>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</si>
  <si>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</si>
  <si>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</si>
  <si>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</si>
  <si>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</si>
  <si>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</si>
  <si>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</si>
  <si>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</si>
  <si>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</si>
  <si>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</si>
  <si>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</si>
  <si>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</si>
  <si>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</si>
  <si>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</si>
  <si>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</si>
  <si>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</si>
  <si>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</si>
  <si>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</si>
  <si>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</si>
  <si>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</si>
  <si>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</si>
  <si>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</si>
  <si>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</si>
  <si>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</si>
  <si>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</si>
  <si>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</si>
  <si>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</si>
  <si>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</si>
  <si>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</si>
  <si>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</si>
  <si>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</si>
  <si>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</si>
  <si>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</si>
  <si>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</si>
  <si>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</si>
  <si>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</si>
  <si>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</si>
  <si>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</si>
  <si>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</si>
  <si>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</si>
  <si>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</si>
  <si>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</si>
  <si>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</si>
  <si>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</si>
  <si>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</si>
  <si>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</si>
  <si>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</si>
  <si>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</si>
  <si>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</si>
  <si>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</si>
  <si>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</si>
  <si>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</si>
  <si>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</si>
  <si>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</si>
  <si>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</si>
  <si>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</si>
  <si>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</si>
  <si>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</si>
  <si>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</si>
  <si>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</si>
  <si>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</si>
  <si>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</si>
  <si>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</si>
  <si>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</si>
  <si>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</si>
  <si>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</si>
  <si>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</si>
  <si>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</si>
  <si>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</si>
  <si>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</si>
  <si>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</si>
  <si>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</si>
  <si>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</si>
  <si>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</si>
  <si>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</si>
  <si>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</si>
  <si>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</si>
  <si>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</si>
  <si>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</si>
  <si>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</si>
  <si>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</si>
  <si>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</si>
  <si>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</si>
  <si>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</si>
  <si>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</si>
  <si>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</si>
  <si>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</si>
  <si>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</si>
  <si>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</si>
  <si>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</si>
  <si>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</si>
  <si>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</si>
  <si>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</si>
  <si>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</si>
  <si>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</si>
  <si>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</si>
  <si>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</si>
  <si>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</si>
  <si>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</si>
  <si>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</si>
  <si>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</si>
  <si>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</si>
  <si>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</si>
  <si>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</si>
  <si>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</si>
  <si>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</si>
  <si>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</si>
  <si>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</si>
  <si>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</si>
  <si>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</si>
  <si>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</si>
  <si>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</si>
  <si>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</si>
  <si>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</si>
  <si>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</si>
  <si>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</si>
  <si>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</si>
  <si>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</si>
  <si>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</si>
  <si>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</si>
  <si>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</si>
  <si>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</si>
  <si>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</si>
  <si>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</si>
  <si>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</si>
  <si>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</si>
  <si>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</si>
  <si>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</si>
  <si>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</si>
  <si>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</si>
  <si>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</si>
  <si>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</si>
  <si>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</si>
  <si>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</si>
  <si>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</si>
  <si>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</si>
  <si>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</si>
  <si>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</si>
  <si>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</si>
  <si>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</si>
  <si>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</si>
  <si>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</si>
  <si>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</si>
  <si>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</si>
  <si>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</si>
  <si>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</si>
  <si>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</si>
  <si>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</si>
  <si>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</si>
  <si>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</si>
  <si>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</si>
  <si>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</si>
  <si>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</si>
  <si>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</si>
  <si>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</si>
  <si>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</si>
  <si>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</si>
  <si>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</si>
  <si>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</si>
  <si>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</si>
  <si>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</si>
  <si>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</si>
  <si>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</si>
  <si>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</si>
  <si>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</si>
  <si>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</si>
  <si>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</si>
  <si>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</si>
  <si>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</si>
  <si>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</si>
  <si>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</si>
  <si>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</si>
  <si>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</si>
  <si>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</si>
  <si>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</si>
  <si>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</si>
  <si>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</si>
  <si>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</si>
  <si>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</si>
  <si>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</si>
  <si>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</si>
  <si>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</si>
  <si>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</si>
  <si>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</si>
  <si>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</si>
  <si>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</si>
  <si>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</si>
  <si>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</si>
  <si>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</si>
  <si>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</si>
  <si>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</si>
  <si>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</si>
  <si>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</si>
  <si>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</si>
  <si>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</si>
  <si>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</si>
  <si>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</si>
  <si>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</si>
  <si>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</si>
  <si>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</si>
  <si>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</si>
  <si>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</si>
  <si>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</si>
  <si>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</si>
  <si>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</si>
  <si>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</si>
  <si>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</si>
  <si>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</si>
  <si>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</si>
  <si>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</si>
  <si>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</si>
  <si>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</si>
  <si>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</si>
  <si>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</si>
  <si>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</si>
  <si>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</si>
  <si>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</si>
  <si>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</si>
  <si>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</si>
  <si>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</si>
  <si>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</si>
  <si>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</si>
  <si>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</si>
  <si>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</si>
  <si>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</si>
  <si>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</si>
  <si>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</si>
  <si>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</si>
  <si>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</si>
  <si>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</si>
  <si>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</si>
  <si>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</si>
  <si>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</si>
  <si>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</si>
  <si>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</si>
  <si>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</si>
  <si>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</si>
  <si>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</si>
  <si>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</si>
  <si>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</si>
  <si>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</si>
  <si>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</si>
  <si>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</si>
  <si>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</si>
  <si>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</si>
  <si>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</si>
  <si>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</si>
  <si>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</si>
  <si>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</si>
  <si>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</si>
  <si>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</si>
  <si>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</si>
  <si>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</si>
  <si>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</si>
  <si>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</si>
  <si>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</si>
  <si>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</si>
  <si>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</si>
  <si>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</si>
  <si>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</si>
  <si>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</si>
  <si>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</si>
  <si>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</si>
  <si>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</si>
  <si>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</si>
  <si>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</si>
  <si>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</si>
  <si>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</si>
  <si>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</si>
  <si>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</si>
  <si>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</si>
  <si>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</si>
  <si>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</si>
  <si>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</si>
  <si>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</si>
  <si>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</si>
  <si>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</si>
  <si>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</si>
  <si>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</si>
  <si>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</si>
  <si>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</si>
  <si>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</si>
  <si>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</si>
  <si>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</si>
  <si>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</si>
  <si>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</si>
  <si>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</si>
  <si>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</si>
  <si>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</si>
  <si>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</si>
  <si>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</si>
  <si>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</si>
  <si>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</si>
  <si>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</si>
  <si>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</si>
  <si>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</si>
  <si>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</si>
  <si>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</si>
  <si>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</si>
  <si>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</si>
  <si>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</si>
  <si>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</si>
  <si>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</si>
  <si>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</si>
  <si>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</si>
  <si>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</si>
  <si>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</si>
  <si>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</si>
  <si>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</si>
  <si>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</si>
  <si>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</si>
  <si>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</si>
  <si>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</si>
  <si>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</si>
  <si>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</si>
  <si>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</si>
  <si>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</si>
  <si>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</si>
  <si>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</si>
  <si>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</si>
  <si>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</si>
  <si>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</si>
  <si>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</si>
  <si>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</si>
  <si>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</si>
  <si>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</si>
  <si>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</si>
  <si>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</si>
  <si>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</si>
  <si>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</si>
  <si>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</si>
  <si>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</si>
  <si>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</si>
  <si>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</si>
  <si>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</si>
  <si>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</si>
  <si>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</si>
  <si>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</si>
  <si>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</si>
  <si>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</si>
  <si>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</si>
  <si>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</si>
  <si>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</si>
  <si>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</si>
  <si>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</si>
  <si>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</si>
  <si>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</si>
  <si>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</si>
  <si>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</si>
  <si>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</si>
  <si>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</si>
  <si>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</si>
  <si>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</si>
  <si>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</si>
  <si>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</si>
  <si>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</si>
  <si>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</si>
  <si>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</si>
  <si>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</si>
  <si>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</si>
  <si>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</si>
  <si>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</si>
  <si>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</si>
  <si>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</si>
  <si>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</si>
  <si>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</si>
  <si>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</si>
  <si>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</si>
  <si>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</si>
  <si>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</si>
  <si>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</si>
  <si>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</si>
  <si>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</si>
  <si>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</si>
  <si>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</si>
  <si>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</si>
  <si>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</si>
  <si>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</si>
  <si>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</si>
  <si>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</si>
  <si>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</si>
  <si>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</si>
  <si>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</si>
  <si>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</si>
  <si>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</si>
  <si>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</si>
  <si>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</si>
  <si>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</si>
  <si>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</si>
  <si>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</si>
  <si>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</si>
  <si>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</si>
  <si>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</si>
  <si>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</si>
  <si>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</si>
  <si>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</si>
  <si>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</si>
  <si>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</si>
  <si>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</si>
  <si>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</si>
  <si>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</si>
  <si>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</si>
  <si>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</si>
  <si>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</si>
  <si>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</si>
  <si>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</si>
  <si>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</si>
  <si>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</si>
  <si>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</si>
  <si>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</si>
  <si>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</si>
  <si>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</si>
  <si>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</si>
  <si>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</si>
  <si>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</si>
  <si>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</si>
  <si>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</si>
  <si>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</si>
  <si>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</si>
  <si>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</si>
  <si>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</si>
  <si>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</si>
  <si>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</si>
  <si>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</si>
  <si>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</si>
  <si>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</si>
  <si>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</si>
  <si>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</si>
  <si>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</si>
  <si>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</si>
  <si>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</si>
  <si>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</si>
  <si>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</si>
  <si>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</si>
  <si>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</si>
  <si>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</si>
  <si>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</si>
  <si>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</si>
  <si>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</si>
  <si>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</si>
  <si>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</si>
  <si>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</si>
  <si>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</si>
  <si>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</si>
  <si>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</si>
  <si>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</si>
  <si>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</si>
  <si>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</si>
  <si>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</si>
  <si>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</si>
  <si>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</si>
  <si>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</si>
  <si>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</si>
  <si>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</si>
  <si>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</si>
  <si>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</si>
  <si>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</si>
  <si>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</si>
  <si>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</si>
  <si>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</si>
  <si>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</si>
  <si>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</si>
  <si>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</si>
  <si>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</si>
  <si>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</si>
  <si>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</si>
  <si>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</si>
  <si>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</si>
  <si>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</si>
  <si>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</si>
  <si>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</si>
  <si>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</si>
  <si>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</si>
  <si>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</si>
  <si>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</si>
  <si>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</si>
  <si>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</si>
  <si>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</si>
  <si>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</si>
  <si>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</si>
  <si>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</si>
  <si>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</si>
  <si>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</si>
  <si>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</si>
  <si>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</si>
  <si>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</si>
  <si>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</si>
  <si>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</si>
  <si>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</si>
  <si>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</si>
  <si>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</si>
  <si>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</si>
  <si>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</si>
  <si>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</si>
  <si>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</si>
  <si>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</si>
  <si>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</si>
  <si>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</si>
  <si>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</si>
  <si>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</si>
  <si>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</si>
  <si>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</si>
  <si>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</si>
  <si>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</si>
  <si>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</si>
  <si>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</si>
  <si>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</si>
  <si>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</si>
  <si>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</si>
  <si>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</si>
  <si>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</si>
  <si>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</si>
  <si>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</si>
  <si>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</si>
  <si>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</si>
  <si>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</si>
  <si>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</si>
  <si>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</si>
  <si>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</si>
  <si>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</si>
  <si>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</si>
  <si>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</si>
  <si>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</si>
  <si>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</si>
  <si>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</si>
  <si>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</si>
  <si>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</si>
  <si>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</si>
  <si>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</si>
  <si>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</si>
  <si>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</si>
  <si>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</si>
  <si>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</si>
  <si>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</si>
  <si>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</si>
  <si>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</si>
  <si>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</si>
  <si>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</si>
  <si>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</si>
  <si>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</si>
  <si>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</si>
  <si>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</si>
  <si>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</si>
  <si>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</si>
  <si>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</si>
  <si>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</si>
  <si>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</si>
  <si>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</si>
  <si>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</si>
  <si>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</si>
  <si>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</si>
  <si>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</si>
  <si>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</si>
  <si>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</si>
  <si>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</si>
  <si>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</si>
  <si>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</si>
  <si>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</si>
  <si>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</si>
  <si>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</si>
  <si>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</si>
  <si>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</si>
  <si>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</si>
  <si>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</si>
  <si>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</si>
  <si>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</si>
  <si>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</si>
  <si>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</si>
  <si>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</si>
  <si>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</si>
  <si>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</si>
  <si>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</si>
  <si>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</si>
  <si>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</si>
  <si>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</si>
  <si>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</si>
  <si>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</si>
  <si>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</si>
  <si>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</si>
  <si>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</si>
  <si>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</si>
  <si>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</si>
  <si>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</si>
  <si>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</si>
  <si>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</si>
  <si>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</si>
  <si>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</si>
  <si>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</si>
  <si>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</si>
  <si>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</si>
  <si>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</si>
  <si>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</si>
  <si>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</si>
  <si>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</si>
  <si>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</si>
  <si>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</si>
  <si>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</si>
  <si>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</si>
  <si>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</si>
  <si>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</si>
  <si>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</si>
  <si>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</si>
  <si>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</si>
  <si>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</si>
  <si>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</si>
  <si>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</si>
  <si>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</si>
  <si>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</si>
  <si>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</si>
  <si>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</si>
  <si>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</si>
  <si>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</si>
  <si>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</si>
  <si>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</si>
  <si>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</si>
  <si>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</si>
  <si>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</si>
  <si>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</si>
  <si>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</si>
  <si>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</si>
  <si>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</si>
  <si>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</si>
  <si>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</si>
  <si>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</si>
  <si>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</si>
  <si>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</si>
  <si>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</si>
  <si>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</si>
  <si>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</si>
  <si>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</si>
  <si>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</si>
  <si>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</si>
  <si>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</si>
  <si>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</si>
  <si>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</si>
  <si>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</si>
  <si>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</si>
  <si>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</si>
  <si>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</si>
  <si>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</si>
  <si>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</si>
  <si>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</si>
  <si>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</si>
  <si>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</si>
  <si>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</si>
  <si>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</si>
  <si>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</si>
  <si>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</si>
  <si>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</si>
  <si>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</si>
  <si>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</si>
  <si>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</si>
  <si>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</si>
  <si>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</si>
  <si>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</si>
  <si>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</si>
  <si>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</si>
  <si>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</si>
  <si>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</si>
  <si>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</si>
  <si>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</si>
  <si>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</si>
  <si>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</si>
  <si>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</si>
  <si>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</si>
  <si>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</si>
  <si>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</si>
  <si>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</si>
  <si>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</si>
  <si>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</si>
  <si>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</si>
  <si>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</si>
  <si>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</si>
  <si>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</si>
  <si>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</si>
  <si>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</si>
  <si>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</si>
  <si>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</si>
  <si>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</si>
  <si>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</si>
  <si>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</si>
  <si>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</si>
  <si>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</si>
  <si>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</si>
  <si>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</si>
  <si>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</si>
  <si>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</si>
  <si>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23103</t>
  </si>
  <si>
    <t>WEZEMBEEK-OPPEM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</si>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</sst>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119587.63893085069</c:v>
                </c:pt>
                <c:pt idx="1">
                  <c:v>29162.649503444249</c:v>
                </c:pt>
                <c:pt idx="2">
                  <c:v>992.84799999999996</c:v>
                </c:pt>
                <c:pt idx="3">
                  <c:v>3113.0426396597168</c:v>
                </c:pt>
                <c:pt idx="4">
                  <c:v>1726.1079497000592</c:v>
                </c:pt>
                <c:pt idx="5">
                  <c:v>100166.66387131783</c:v>
                </c:pt>
                <c:pt idx="6">
                  <c:v>590.39160882168085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84480"/>
        <c:axId val="183698560"/>
      </c:barChart>
      <c:catAx>
        <c:axId val="183684480"/>
        <c:scaling>
          <c:orientation val="minMax"/>
        </c:scaling>
        <c:axPos val="b"/>
        <c:numFmt formatCode="General" sourceLinked="0"/>
        <c:tickLblPos val="nextTo"/>
        <c:crossAx val="183698560"/>
        <c:crosses val="autoZero"/>
        <c:auto val="1"/>
        <c:lblAlgn val="ctr"/>
        <c:lblOffset val="100"/>
      </c:catAx>
      <c:valAx>
        <c:axId val="183698560"/>
        <c:scaling>
          <c:orientation val="minMax"/>
        </c:scaling>
        <c:axPos val="l"/>
        <c:majorGridlines>
          <c:spPr>
            <a:ln>
              <a:noFill/>
            </a:ln>
          </c:spPr>
        </c:majorGridlines>
        <c:numFmt formatCode="#,##0" sourceLinked="1"/>
        <c:tickLblPos val="nextTo"/>
        <c:crossAx val="18368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119587.63893085069</c:v>
                </c:pt>
                <c:pt idx="1">
                  <c:v>29162.649503444249</c:v>
                </c:pt>
                <c:pt idx="2">
                  <c:v>992.84799999999996</c:v>
                </c:pt>
                <c:pt idx="3">
                  <c:v>3113.0426396597168</c:v>
                </c:pt>
                <c:pt idx="4">
                  <c:v>1726.1079497000592</c:v>
                </c:pt>
                <c:pt idx="5">
                  <c:v>100166.66387131783</c:v>
                </c:pt>
                <c:pt idx="6">
                  <c:v>590.39160882168085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24183.509355622864</c:v>
                </c:pt>
                <c:pt idx="1">
                  <c:v>5987.3595733879038</c:v>
                </c:pt>
                <c:pt idx="2">
                  <c:v>214.32166646506261</c:v>
                </c:pt>
                <c:pt idx="3">
                  <c:v>657.05483704856442</c:v>
                </c:pt>
                <c:pt idx="4">
                  <c:v>349.73883144468721</c:v>
                </c:pt>
                <c:pt idx="5">
                  <c:v>25066.581848894628</c:v>
                </c:pt>
                <c:pt idx="6">
                  <c:v>149.16277256419571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92544"/>
        <c:axId val="184094080"/>
      </c:barChart>
      <c:catAx>
        <c:axId val="184092544"/>
        <c:scaling>
          <c:orientation val="minMax"/>
        </c:scaling>
        <c:axPos val="b"/>
        <c:numFmt formatCode="General" sourceLinked="0"/>
        <c:tickLblPos val="nextTo"/>
        <c:crossAx val="184094080"/>
        <c:crosses val="autoZero"/>
        <c:auto val="1"/>
        <c:lblAlgn val="ctr"/>
        <c:lblOffset val="100"/>
      </c:catAx>
      <c:valAx>
        <c:axId val="184094080"/>
        <c:scaling>
          <c:orientation val="minMax"/>
        </c:scaling>
        <c:axPos val="l"/>
        <c:majorGridlines>
          <c:spPr>
            <a:ln>
              <a:noFill/>
            </a:ln>
          </c:spPr>
        </c:majorGridlines>
        <c:numFmt formatCode="#,##0" sourceLinked="1"/>
        <c:tickLblPos val="nextTo"/>
        <c:crossAx val="1840925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24183.509355622864</c:v>
                </c:pt>
                <c:pt idx="1">
                  <c:v>5987.3595733879038</c:v>
                </c:pt>
                <c:pt idx="2">
                  <c:v>214.32166646506261</c:v>
                </c:pt>
                <c:pt idx="3">
                  <c:v>657.05483704856442</c:v>
                </c:pt>
                <c:pt idx="4">
                  <c:v>349.73883144468721</c:v>
                </c:pt>
                <c:pt idx="5">
                  <c:v>25066.581848894628</c:v>
                </c:pt>
                <c:pt idx="6">
                  <c:v>149.16277256419571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23103</v>
      </c>
      <c r="B6" s="415"/>
      <c r="C6" s="416"/>
    </row>
    <row r="7" spans="1:7" s="413" customFormat="1" ht="15.75" customHeight="1">
      <c r="A7" s="417" t="str">
        <f>txtMunicipality</f>
        <v>WEZEMBEEK-OPPEM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5410</v>
      </c>
      <c r="C9" s="342">
        <v>5373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96.27</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15</v>
      </c>
    </row>
    <row r="27" spans="1:6">
      <c r="A27" s="348" t="s">
        <v>17</v>
      </c>
      <c r="B27" s="334">
        <v>0</v>
      </c>
    </row>
    <row r="28" spans="1:6" s="356" customFormat="1">
      <c r="A28" s="355" t="s">
        <v>18</v>
      </c>
      <c r="B28" s="355">
        <v>0</v>
      </c>
    </row>
    <row r="29" spans="1:6">
      <c r="A29" s="355" t="s">
        <v>744</v>
      </c>
      <c r="B29" s="355">
        <v>54</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2087373.78888503</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4233</v>
      </c>
      <c r="D39" s="334">
        <v>96378195.802296102</v>
      </c>
      <c r="E39" s="334">
        <v>5384</v>
      </c>
      <c r="F39" s="334">
        <v>20723586.6443193</v>
      </c>
    </row>
    <row r="40" spans="1:6">
      <c r="A40" s="348" t="s">
        <v>30</v>
      </c>
      <c r="B40" s="348" t="s">
        <v>29</v>
      </c>
      <c r="C40" s="334">
        <v>0</v>
      </c>
      <c r="D40" s="334">
        <v>0</v>
      </c>
      <c r="E40" s="334">
        <v>0</v>
      </c>
      <c r="F40" s="334">
        <v>0</v>
      </c>
    </row>
    <row r="41" spans="1:6">
      <c r="A41" s="348" t="s">
        <v>32</v>
      </c>
      <c r="B41" s="348" t="s">
        <v>33</v>
      </c>
      <c r="C41" s="334">
        <v>30</v>
      </c>
      <c r="D41" s="334">
        <v>585386.30855730595</v>
      </c>
      <c r="E41" s="334">
        <v>46</v>
      </c>
      <c r="F41" s="334">
        <v>198218.192693302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82069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479940.806510858</v>
      </c>
      <c r="E48" s="334">
        <v>20</v>
      </c>
      <c r="F48" s="334">
        <v>107825.66909412701</v>
      </c>
    </row>
    <row r="49" spans="1:6">
      <c r="A49" s="348" t="s">
        <v>32</v>
      </c>
      <c r="B49" s="348" t="s">
        <v>40</v>
      </c>
      <c r="C49" s="334">
        <v>0</v>
      </c>
      <c r="D49" s="334">
        <v>0</v>
      </c>
      <c r="E49" s="334">
        <v>0</v>
      </c>
      <c r="F49" s="334">
        <v>0</v>
      </c>
    </row>
    <row r="50" spans="1:6">
      <c r="A50" s="348" t="s">
        <v>32</v>
      </c>
      <c r="B50" s="348" t="s">
        <v>41</v>
      </c>
      <c r="C50" s="334">
        <v>0</v>
      </c>
      <c r="D50" s="334">
        <v>0</v>
      </c>
      <c r="E50" s="334">
        <v>3</v>
      </c>
      <c r="F50" s="334">
        <v>28945.667676666901</v>
      </c>
    </row>
    <row r="51" spans="1:6">
      <c r="A51" s="348" t="s">
        <v>42</v>
      </c>
      <c r="B51" s="348" t="s">
        <v>43</v>
      </c>
      <c r="C51" s="334">
        <v>0</v>
      </c>
      <c r="D51" s="334">
        <v>0</v>
      </c>
      <c r="E51" s="334">
        <v>0</v>
      </c>
      <c r="F51" s="334">
        <v>0</v>
      </c>
    </row>
    <row r="52" spans="1:6">
      <c r="A52" s="348" t="s">
        <v>42</v>
      </c>
      <c r="B52" s="348" t="s">
        <v>29</v>
      </c>
      <c r="C52" s="334">
        <v>1</v>
      </c>
      <c r="D52" s="334">
        <v>47809.966690568799</v>
      </c>
      <c r="E52" s="334">
        <v>4</v>
      </c>
      <c r="F52" s="334">
        <v>91800.435764052003</v>
      </c>
    </row>
    <row r="53" spans="1:6">
      <c r="A53" s="348" t="s">
        <v>44</v>
      </c>
      <c r="B53" s="348" t="s">
        <v>45</v>
      </c>
      <c r="C53" s="334">
        <v>112</v>
      </c>
      <c r="D53" s="334">
        <v>2859959.81405723</v>
      </c>
      <c r="E53" s="334">
        <v>176</v>
      </c>
      <c r="F53" s="334">
        <v>795267.22635267104</v>
      </c>
    </row>
    <row r="54" spans="1:6">
      <c r="A54" s="348" t="s">
        <v>46</v>
      </c>
      <c r="B54" s="348" t="s">
        <v>47</v>
      </c>
      <c r="C54" s="334">
        <v>0</v>
      </c>
      <c r="D54" s="334">
        <v>0</v>
      </c>
      <c r="E54" s="334">
        <v>1</v>
      </c>
      <c r="F54" s="334">
        <v>992848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1267260.5447134101</v>
      </c>
      <c r="E57" s="334">
        <v>28</v>
      </c>
      <c r="F57" s="334">
        <v>394791.60302253201</v>
      </c>
    </row>
    <row r="58" spans="1:6">
      <c r="A58" s="348" t="s">
        <v>49</v>
      </c>
      <c r="B58" s="348" t="s">
        <v>51</v>
      </c>
      <c r="C58" s="334">
        <v>23</v>
      </c>
      <c r="D58" s="334">
        <v>817062.52818244603</v>
      </c>
      <c r="E58" s="334">
        <v>25</v>
      </c>
      <c r="F58" s="334">
        <v>419641.909430178</v>
      </c>
    </row>
    <row r="59" spans="1:6">
      <c r="A59" s="348" t="s">
        <v>49</v>
      </c>
      <c r="B59" s="348" t="s">
        <v>52</v>
      </c>
      <c r="C59" s="334">
        <v>29</v>
      </c>
      <c r="D59" s="334">
        <v>1198052.10896604</v>
      </c>
      <c r="E59" s="334">
        <v>56</v>
      </c>
      <c r="F59" s="334">
        <v>1525781.4452536299</v>
      </c>
    </row>
    <row r="60" spans="1:6">
      <c r="A60" s="348" t="s">
        <v>49</v>
      </c>
      <c r="B60" s="348" t="s">
        <v>53</v>
      </c>
      <c r="C60" s="334">
        <v>9</v>
      </c>
      <c r="D60" s="334">
        <v>819579.70221063402</v>
      </c>
      <c r="E60" s="334">
        <v>12</v>
      </c>
      <c r="F60" s="334">
        <v>333855.77538006002</v>
      </c>
    </row>
    <row r="61" spans="1:6">
      <c r="A61" s="348" t="s">
        <v>49</v>
      </c>
      <c r="B61" s="348" t="s">
        <v>54</v>
      </c>
      <c r="C61" s="334">
        <v>145</v>
      </c>
      <c r="D61" s="334">
        <v>8040774.5993805705</v>
      </c>
      <c r="E61" s="334">
        <v>228</v>
      </c>
      <c r="F61" s="334">
        <v>2969602.7865553098</v>
      </c>
    </row>
    <row r="62" spans="1:6">
      <c r="A62" s="348" t="s">
        <v>49</v>
      </c>
      <c r="B62" s="348" t="s">
        <v>55</v>
      </c>
      <c r="C62" s="334">
        <v>7</v>
      </c>
      <c r="D62" s="334">
        <v>163848.62097891301</v>
      </c>
      <c r="E62" s="334">
        <v>11</v>
      </c>
      <c r="F62" s="334">
        <v>449261.20914895501</v>
      </c>
    </row>
    <row r="63" spans="1:6">
      <c r="A63" s="348" t="s">
        <v>49</v>
      </c>
      <c r="B63" s="348" t="s">
        <v>29</v>
      </c>
      <c r="C63" s="334">
        <v>77</v>
      </c>
      <c r="D63" s="334">
        <v>8296218.73629783</v>
      </c>
      <c r="E63" s="334">
        <v>77</v>
      </c>
      <c r="F63" s="334">
        <v>2373900.9208654501</v>
      </c>
    </row>
    <row r="64" spans="1:6">
      <c r="A64" s="348" t="s">
        <v>56</v>
      </c>
      <c r="B64" s="348" t="s">
        <v>57</v>
      </c>
      <c r="C64" s="334">
        <v>0</v>
      </c>
      <c r="D64" s="334">
        <v>0</v>
      </c>
      <c r="E64" s="334">
        <v>0</v>
      </c>
      <c r="F64" s="334">
        <v>0</v>
      </c>
    </row>
    <row r="65" spans="1:6">
      <c r="A65" s="348" t="s">
        <v>56</v>
      </c>
      <c r="B65" s="348" t="s">
        <v>29</v>
      </c>
      <c r="C65" s="334">
        <v>3</v>
      </c>
      <c r="D65" s="334">
        <v>45574.203152198803</v>
      </c>
      <c r="E65" s="334">
        <v>4</v>
      </c>
      <c r="F65" s="334">
        <v>36317.093644907502</v>
      </c>
    </row>
    <row r="66" spans="1:6">
      <c r="A66" s="348" t="s">
        <v>56</v>
      </c>
      <c r="B66" s="348" t="s">
        <v>58</v>
      </c>
      <c r="C66" s="334">
        <v>0</v>
      </c>
      <c r="D66" s="334">
        <v>0</v>
      </c>
      <c r="E66" s="334">
        <v>9</v>
      </c>
      <c r="F66" s="334">
        <v>260942.15441239299</v>
      </c>
    </row>
    <row r="67" spans="1:6">
      <c r="A67" s="355" t="s">
        <v>56</v>
      </c>
      <c r="B67" s="355" t="s">
        <v>59</v>
      </c>
      <c r="C67" s="334">
        <v>0</v>
      </c>
      <c r="D67" s="334">
        <v>0</v>
      </c>
      <c r="E67" s="334">
        <v>0</v>
      </c>
      <c r="F67" s="334">
        <v>0</v>
      </c>
    </row>
    <row r="68" spans="1:6">
      <c r="A68" s="341" t="s">
        <v>56</v>
      </c>
      <c r="B68" s="341" t="s">
        <v>60</v>
      </c>
      <c r="C68" s="334">
        <v>0</v>
      </c>
      <c r="D68" s="334">
        <v>0</v>
      </c>
      <c r="E68" s="334">
        <v>3</v>
      </c>
      <c r="F68" s="334">
        <v>18648.919604888</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17919558</v>
      </c>
      <c r="E73" s="476">
        <v>22320366.686956245</v>
      </c>
    </row>
    <row r="74" spans="1:6">
      <c r="A74" s="348" t="s">
        <v>64</v>
      </c>
      <c r="B74" s="348" t="s">
        <v>657</v>
      </c>
      <c r="C74" s="1272" t="s">
        <v>659</v>
      </c>
      <c r="D74" s="476">
        <v>570517.96430843044</v>
      </c>
      <c r="E74" s="476">
        <v>638536.87298092176</v>
      </c>
    </row>
    <row r="75" spans="1:6">
      <c r="A75" s="348" t="s">
        <v>65</v>
      </c>
      <c r="B75" s="348" t="s">
        <v>656</v>
      </c>
      <c r="C75" s="1272" t="s">
        <v>660</v>
      </c>
      <c r="D75" s="476">
        <v>16054408</v>
      </c>
      <c r="E75" s="476">
        <v>20503053.887634981</v>
      </c>
    </row>
    <row r="76" spans="1:6">
      <c r="A76" s="348" t="s">
        <v>65</v>
      </c>
      <c r="B76" s="348" t="s">
        <v>657</v>
      </c>
      <c r="C76" s="1272" t="s">
        <v>661</v>
      </c>
      <c r="D76" s="476">
        <v>62565.964308430455</v>
      </c>
      <c r="E76" s="476">
        <v>76936.251390934602</v>
      </c>
    </row>
    <row r="77" spans="1:6">
      <c r="A77" s="348" t="s">
        <v>66</v>
      </c>
      <c r="B77" s="348" t="s">
        <v>656</v>
      </c>
      <c r="C77" s="1272" t="s">
        <v>662</v>
      </c>
      <c r="D77" s="476">
        <v>76794631</v>
      </c>
      <c r="E77" s="476">
        <v>79204438.441423938</v>
      </c>
    </row>
    <row r="78" spans="1:6">
      <c r="A78" s="341" t="s">
        <v>66</v>
      </c>
      <c r="B78" s="341" t="s">
        <v>657</v>
      </c>
      <c r="C78" s="341" t="s">
        <v>663</v>
      </c>
      <c r="D78" s="1273">
        <v>8347534</v>
      </c>
      <c r="E78" s="1273">
        <v>8673368.7746430263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160124.07138313909</v>
      </c>
      <c r="C83" s="476">
        <v>160341.9765511899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731.06320805914061</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2958</v>
      </c>
    </row>
    <row r="98" spans="1:6">
      <c r="A98" s="348" t="s">
        <v>72</v>
      </c>
      <c r="B98" s="334">
        <v>4</v>
      </c>
    </row>
    <row r="99" spans="1:6">
      <c r="A99" s="348" t="s">
        <v>73</v>
      </c>
      <c r="B99" s="334">
        <v>27</v>
      </c>
    </row>
    <row r="100" spans="1:6">
      <c r="A100" s="348" t="s">
        <v>74</v>
      </c>
      <c r="B100" s="334">
        <v>215</v>
      </c>
    </row>
    <row r="101" spans="1:6">
      <c r="A101" s="348" t="s">
        <v>75</v>
      </c>
      <c r="B101" s="334">
        <v>11</v>
      </c>
    </row>
    <row r="102" spans="1:6">
      <c r="A102" s="348" t="s">
        <v>76</v>
      </c>
      <c r="B102" s="334">
        <v>127</v>
      </c>
    </row>
    <row r="103" spans="1:6">
      <c r="A103" s="348" t="s">
        <v>77</v>
      </c>
      <c r="B103" s="334">
        <v>15</v>
      </c>
    </row>
    <row r="104" spans="1:6">
      <c r="A104" s="348" t="s">
        <v>78</v>
      </c>
      <c r="B104" s="334">
        <v>1366</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46</v>
      </c>
    </row>
    <row r="130" spans="1:6">
      <c r="A130" s="348" t="s">
        <v>295</v>
      </c>
      <c r="B130" s="334">
        <v>0</v>
      </c>
    </row>
    <row r="131" spans="1:6">
      <c r="A131" s="348" t="s">
        <v>296</v>
      </c>
      <c r="B131" s="334">
        <v>0</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31466.769200351009</v>
      </c>
      <c r="C3" s="43" t="s">
        <v>170</v>
      </c>
      <c r="D3" s="43"/>
      <c r="E3" s="154"/>
      <c r="F3" s="43"/>
      <c r="G3" s="43"/>
      <c r="H3" s="43"/>
      <c r="I3" s="43"/>
      <c r="J3" s="43"/>
      <c r="K3" s="96"/>
    </row>
    <row r="4" spans="1:11">
      <c r="A4" s="383" t="s">
        <v>171</v>
      </c>
      <c r="B4" s="49">
        <f>IF(ISERROR('SEAP template'!B69),0,'SEAP template'!B69)</f>
        <v>731.06320805914061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0.2158655367841428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992.84799999999996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992.84799999999996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0.2158655367841428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214.32166646506261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20723.586644319301</v>
      </c>
      <c r="C5" s="17">
        <f>IF(ISERROR('Eigen informatie GS &amp; warmtenet'!B57),0,'Eigen informatie GS &amp; warmtenet'!B57)</f>
        <v>0</v>
      </c>
      <c r="D5" s="30">
        <f>(SUM(HH_hh_gas_kWh,HH_rest_gas_kWh)/1000)*0.902</f>
        <v>86933.132613671085</v>
      </c>
      <c r="E5" s="17">
        <f>B46*B57</f>
        <v>2120.6491728651031</v>
      </c>
      <c r="F5" s="17">
        <f>B51*B62</f>
        <v>5656.590631166383</v>
      </c>
      <c r="G5" s="18"/>
      <c r="H5" s="17"/>
      <c r="I5" s="17"/>
      <c r="J5" s="17">
        <f>B50*B61+C50*C61</f>
        <v>0</v>
      </c>
      <c r="K5" s="17"/>
      <c r="L5" s="17"/>
      <c r="M5" s="17"/>
      <c r="N5" s="17">
        <f>B48*B59+C48*C59</f>
        <v>2944.356660769683</v>
      </c>
      <c r="O5" s="17">
        <f>B69*B70*B71</f>
        <v>96.926666666666677</v>
      </c>
      <c r="P5" s="17">
        <f>B77*B78*B79/1000-B77*B78*B79/1000/B80</f>
        <v>381.33333333333337</v>
      </c>
    </row>
    <row r="6" spans="1:16">
      <c r="A6" s="16" t="s">
        <v>621</v>
      </c>
      <c r="B6" s="843">
        <f>kWh_PV_kleiner_dan_10kW</f>
        <v>731.06320805914061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21454.649852378443</v>
      </c>
      <c r="C8" s="21">
        <f>C5</f>
        <v>0</v>
      </c>
      <c r="D8" s="21">
        <f>D5</f>
        <v>86933.132613671085</v>
      </c>
      <c r="E8" s="21">
        <f>E5</f>
        <v>2120.6491728651031</v>
      </c>
      <c r="F8" s="21">
        <f>F5</f>
        <v>5656.590631166383</v>
      </c>
      <c r="G8" s="21"/>
      <c r="H8" s="21"/>
      <c r="I8" s="21"/>
      <c r="J8" s="21">
        <f>J5</f>
        <v>0</v>
      </c>
      <c r="K8" s="21"/>
      <c r="L8" s="21">
        <f>L5</f>
        <v>0</v>
      </c>
      <c r="M8" s="21">
        <f>M5</f>
        <v>0</v>
      </c>
      <c r="N8" s="21">
        <f>N5</f>
        <v>2944.356660769683</v>
      </c>
      <c r="O8" s="21">
        <f>O5</f>
        <v>96.926666666666677</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0.2158655367841428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4631.3195068995028</v>
      </c>
      <c r="C12" s="23">
        <f ca="1">C10*C8</f>
        <v>0</v>
      </c>
      <c r="D12" s="23">
        <f>D8*D10</f>
        <v>17560.492787961561</v>
      </c>
      <c r="E12" s="23">
        <f>E10*E8</f>
        <v>481.38736224037842</v>
      </c>
      <c r="F12" s="23">
        <f>F10*F8</f>
        <v>1510.3096985214243</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2958</v>
      </c>
      <c r="C18" s="166" t="s">
        <v>111</v>
      </c>
      <c r="D18" s="228"/>
      <c r="E18" s="15"/>
    </row>
    <row r="19" spans="1:7">
      <c r="A19" s="171" t="s">
        <v>72</v>
      </c>
      <c r="B19" s="37">
        <f>aantalw2001_ander</f>
        <v>4</v>
      </c>
      <c r="C19" s="166" t="s">
        <v>111</v>
      </c>
      <c r="D19" s="229"/>
      <c r="E19" s="15"/>
    </row>
    <row r="20" spans="1:7">
      <c r="A20" s="171" t="s">
        <v>73</v>
      </c>
      <c r="B20" s="37">
        <f>aantalw2001_propaan</f>
        <v>27</v>
      </c>
      <c r="C20" s="167">
        <f>IF(ISERROR(B20/SUM($B$20,$B$21,$B$22)*100),0,B20/SUM($B$20,$B$21,$B$22)*100)</f>
        <v>10.671936758893279</v>
      </c>
      <c r="D20" s="229"/>
      <c r="E20" s="15"/>
    </row>
    <row r="21" spans="1:7">
      <c r="A21" s="171" t="s">
        <v>74</v>
      </c>
      <c r="B21" s="37">
        <f>aantalw2001_elektriciteit</f>
        <v>215</v>
      </c>
      <c r="C21" s="167">
        <f>IF(ISERROR(B21/SUM($B$20,$B$21,$B$22)*100),0,B21/SUM($B$20,$B$21,$B$22)*100)</f>
        <v>84.980237154150188</v>
      </c>
      <c r="D21" s="229"/>
      <c r="E21" s="15"/>
    </row>
    <row r="22" spans="1:7">
      <c r="A22" s="171" t="s">
        <v>75</v>
      </c>
      <c r="B22" s="37">
        <f>aantalw2001_hout</f>
        <v>11</v>
      </c>
      <c r="C22" s="167">
        <f>IF(ISERROR(B22/SUM($B$20,$B$21,$B$22)*100),0,B22/SUM($B$20,$B$21,$B$22)*100)</f>
        <v>4.3478260869565215</v>
      </c>
      <c r="D22" s="229"/>
      <c r="E22" s="15"/>
    </row>
    <row r="23" spans="1:7">
      <c r="A23" s="171" t="s">
        <v>76</v>
      </c>
      <c r="B23" s="37">
        <f>aantalw2001_niet_gespec</f>
        <v>127</v>
      </c>
      <c r="C23" s="166" t="s">
        <v>111</v>
      </c>
      <c r="D23" s="228"/>
      <c r="E23" s="15"/>
    </row>
    <row r="24" spans="1:7">
      <c r="A24" s="171" t="s">
        <v>77</v>
      </c>
      <c r="B24" s="37">
        <f>aantalw2001_steenkool</f>
        <v>15</v>
      </c>
      <c r="C24" s="166" t="s">
        <v>111</v>
      </c>
      <c r="D24" s="229"/>
      <c r="E24" s="15"/>
    </row>
    <row r="25" spans="1:7">
      <c r="A25" s="171" t="s">
        <v>78</v>
      </c>
      <c r="B25" s="37">
        <f>aantalw2001_stookolie</f>
        <v>1366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5410</v>
      </c>
      <c r="C28" s="36"/>
      <c r="D28" s="228"/>
    </row>
    <row r="29" spans="1:7" s="15" customFormat="1">
      <c r="A29" s="230" t="s">
        <v>795</v>
      </c>
      <c r="B29" s="37">
        <f>SUM(HH_hh_gas_aantal,HH_rest_gas_aantal)</f>
        <v>4233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4233</v>
      </c>
      <c r="C32" s="167">
        <f>IF(ISERROR(B32/SUM($B$32,$B$34,$B$35,$B$36,$B$38,$B$39)*100),0,B32/SUM($B$32,$B$34,$B$35,$B$36,$B$38,$B$39)*100)</f>
        <v>78.534322820037119</v>
      </c>
      <c r="D32" s="233"/>
      <c r="G32" s="15"/>
    </row>
    <row r="33" spans="1:7">
      <c r="A33" s="171" t="s">
        <v>72</v>
      </c>
      <c r="B33" s="34" t="s">
        <v>111</v>
      </c>
      <c r="C33" s="167"/>
      <c r="D33" s="233"/>
      <c r="G33" s="15"/>
    </row>
    <row r="34" spans="1:7">
      <c r="A34" s="171" t="s">
        <v>73</v>
      </c>
      <c r="B34" s="33">
        <f>IF((($B$28-$B$32-$B$39-$B$77-$B$38)*C20/100)&lt;0,0,($B$28-$B$32-$B$39-$B$77-$B$38)*C20/100)</f>
        <v>100.15612648221342</v>
      </c>
      <c r="C34" s="167">
        <f>IF(ISERROR(B34/SUM($B$32,$B$34,$B$35,$B$36,$B$38,$B$39)*100),0,B34/SUM($B$32,$B$34,$B$35,$B$36,$B$38,$B$39)*100)</f>
        <v>1.8581841647906019</v>
      </c>
      <c r="D34" s="233"/>
      <c r="G34" s="15"/>
    </row>
    <row r="35" spans="1:7">
      <c r="A35" s="171" t="s">
        <v>74</v>
      </c>
      <c r="B35" s="33">
        <f>IF((($B$28-$B$32-$B$39-$B$77-$B$38)*C21/100)&lt;0,0,($B$28-$B$32-$B$39-$B$77-$B$38)*C21/100)</f>
        <v>797.53952569169951</v>
      </c>
      <c r="C35" s="167">
        <f>IF(ISERROR(B35/SUM($B$32,$B$34,$B$35,$B$36,$B$38,$B$39)*100),0,B35/SUM($B$32,$B$34,$B$35,$B$36,$B$38,$B$39)*100)</f>
        <v>14.796651682591829</v>
      </c>
      <c r="D35" s="233"/>
      <c r="G35" s="15"/>
    </row>
    <row r="36" spans="1:7">
      <c r="A36" s="171" t="s">
        <v>75</v>
      </c>
      <c r="B36" s="33">
        <f>IF((($B$28-$B$32-$B$39-$B$77-$B$38)*C22/100)&lt;0,0,($B$28-$B$32-$B$39-$B$77-$B$38)*C22/100)</f>
        <v>40.804347826086953</v>
      </c>
      <c r="C36" s="167">
        <f>IF(ISERROR(B36/SUM($B$32,$B$34,$B$35,$B$36,$B$38,$B$39)*100),0,B36/SUM($B$32,$B$34,$B$35,$B$36,$B$38,$B$39)*100)</f>
        <v>0.75703799306283781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218.5</v>
      </c>
      <c r="C39" s="167">
        <f>IF(ISERROR(B39/SUM($B$32,$B$34,$B$35,$B$36,$B$38,$B$39)*100),0,B39/SUM($B$32,$B$34,$B$35,$B$36,$B$38,$B$39)*100)</f>
        <v>4.0538033395176258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4233</v>
      </c>
      <c r="C44" s="34" t="s">
        <v>111</v>
      </c>
      <c r="D44" s="174"/>
    </row>
    <row r="45" spans="1:7">
      <c r="A45" s="171" t="s">
        <v>72</v>
      </c>
      <c r="B45" s="33" t="str">
        <f t="shared" si="0"/>
        <v>-</v>
      </c>
      <c r="C45" s="34" t="s">
        <v>111</v>
      </c>
      <c r="D45" s="174"/>
    </row>
    <row r="46" spans="1:7">
      <c r="A46" s="171" t="s">
        <v>73</v>
      </c>
      <c r="B46" s="33">
        <f t="shared" si="0"/>
        <v>100.15612648221342</v>
      </c>
      <c r="C46" s="34" t="s">
        <v>111</v>
      </c>
      <c r="D46" s="174"/>
    </row>
    <row r="47" spans="1:7">
      <c r="A47" s="171" t="s">
        <v>74</v>
      </c>
      <c r="B47" s="33">
        <f t="shared" si="0"/>
        <v>797.53952569169951</v>
      </c>
      <c r="C47" s="34" t="s">
        <v>111</v>
      </c>
      <c r="D47" s="174"/>
    </row>
    <row r="48" spans="1:7">
      <c r="A48" s="171" t="s">
        <v>75</v>
      </c>
      <c r="B48" s="33">
        <f t="shared" si="0"/>
        <v>40.804347826086953</v>
      </c>
      <c r="C48" s="33">
        <f>B48*10</f>
        <v>408.04347826086951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218.5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8466.8356496561155</v>
      </c>
      <c r="C5" s="17">
        <f>IF(ISERROR('Eigen informatie GS &amp; warmtenet'!B58),0,'Eigen informatie GS &amp; warmtenet'!B58)</f>
        <v>0</v>
      </c>
      <c r="D5" s="30">
        <f>SUM(D6:D12)</f>
        <v>18583.722750338318</v>
      </c>
      <c r="E5" s="17">
        <f>SUM(E6:E12)</f>
        <v>96.893815464152325</v>
      </c>
      <c r="F5" s="17">
        <f>SUM(F6:F12)</f>
        <v>1437.2643850861689</v>
      </c>
      <c r="G5" s="18"/>
      <c r="H5" s="17"/>
      <c r="I5" s="17"/>
      <c r="J5" s="17">
        <f>SUM(J6:J12)</f>
        <v>1.4317839150135268E-2</v>
      </c>
      <c r="K5" s="17"/>
      <c r="L5" s="17"/>
      <c r="M5" s="17"/>
      <c r="N5" s="17">
        <f>SUM(N6:N12)</f>
        <v>577.91858506034077</v>
      </c>
      <c r="O5" s="17">
        <f>B38*B39*B40</f>
        <v>0</v>
      </c>
      <c r="P5" s="17">
        <f>B46*B47*B48/1000-B46*B47*B48/1000/B49</f>
        <v>0</v>
      </c>
      <c r="R5" s="32"/>
    </row>
    <row r="6" spans="1:18">
      <c r="A6" s="32" t="s">
        <v>54</v>
      </c>
      <c r="B6" s="37">
        <f>B26</f>
        <v>2969.6027865553096</v>
      </c>
      <c r="C6" s="33"/>
      <c r="D6" s="37">
        <f>IF(ISERROR(TER_kantoor_gas_kWh/1000),0,TER_kantoor_gas_kWh/1000)*0.902</f>
        <v>7252.7786886412741</v>
      </c>
      <c r="E6" s="33">
        <f>$C$26*'E Balans VL '!I12/100/3.6*1000000</f>
        <v>1.8612482591715183E-2</v>
      </c>
      <c r="F6" s="33">
        <f>$C$26*('E Balans VL '!L12+'E Balans VL '!N12)/100/3.6*1000000</f>
        <v>446.24832020342382</v>
      </c>
      <c r="G6" s="34"/>
      <c r="H6" s="33"/>
      <c r="I6" s="33"/>
      <c r="J6" s="33">
        <f>$C$26*('E Balans VL '!D12+'E Balans VL '!E12)/100/3.6*1000000</f>
        <v>0</v>
      </c>
      <c r="K6" s="33"/>
      <c r="L6" s="33"/>
      <c r="M6" s="33"/>
      <c r="N6" s="33">
        <f>$C$26*'E Balans VL '!Y12/100/3.6*1000000</f>
        <v>2.8399847734075752</v>
      </c>
      <c r="O6" s="33"/>
      <c r="P6" s="33"/>
      <c r="R6" s="32"/>
    </row>
    <row r="7" spans="1:18">
      <c r="A7" s="32" t="s">
        <v>53</v>
      </c>
      <c r="B7" s="37">
        <f t="shared" ref="B7:B12" si="0">B27</f>
        <v>333.85577538006004</v>
      </c>
      <c r="C7" s="33"/>
      <c r="D7" s="37">
        <f>IF(ISERROR(TER_horeca_gas_kWh/1000),0,TER_horeca_gas_kWh/1000)*0.902</f>
        <v>739.26089139399187</v>
      </c>
      <c r="E7" s="33">
        <f>$C$27*'E Balans VL '!I9/100/3.6*1000000</f>
        <v>4.7807590936860791</v>
      </c>
      <c r="F7" s="33">
        <f>$C$27*('E Balans VL '!L9+'E Balans VL '!N9)/100/3.6*1000000</f>
        <v>42.277152150795452</v>
      </c>
      <c r="G7" s="34"/>
      <c r="H7" s="33"/>
      <c r="I7" s="33"/>
      <c r="J7" s="33">
        <f>$C$27*('E Balans VL '!D9+'E Balans VL '!E9)/100/3.6*1000000</f>
        <v>0</v>
      </c>
      <c r="K7" s="33"/>
      <c r="L7" s="33"/>
      <c r="M7" s="33"/>
      <c r="N7" s="33">
        <f>$C$27*'E Balans VL '!Y9/100/3.6*1000000</f>
        <v>9.5976174533776298E-2</v>
      </c>
      <c r="O7" s="33"/>
      <c r="P7" s="33"/>
      <c r="R7" s="32"/>
    </row>
    <row r="8" spans="1:18">
      <c r="A8" s="6" t="s">
        <v>52</v>
      </c>
      <c r="B8" s="37">
        <f t="shared" si="0"/>
        <v>1525.78144525363</v>
      </c>
      <c r="C8" s="33"/>
      <c r="D8" s="37">
        <f>IF(ISERROR(TER_handel_gas_kWh/1000),0,TER_handel_gas_kWh/1000)*0.902</f>
        <v>1080.6430022873681</v>
      </c>
      <c r="E8" s="33">
        <f>$C$28*'E Balans VL '!I13/100/3.6*1000000</f>
        <v>55.339904868410784</v>
      </c>
      <c r="F8" s="33">
        <f>$C$28*('E Balans VL '!L13+'E Balans VL '!N13)/100/3.6*1000000</f>
        <v>293.88095587523213</v>
      </c>
      <c r="G8" s="34"/>
      <c r="H8" s="33"/>
      <c r="I8" s="33"/>
      <c r="J8" s="33">
        <f>$C$28*('E Balans VL '!D13+'E Balans VL '!E13)/100/3.6*1000000</f>
        <v>0</v>
      </c>
      <c r="K8" s="33"/>
      <c r="L8" s="33"/>
      <c r="M8" s="33"/>
      <c r="N8" s="33">
        <f>$C$28*'E Balans VL '!Y13/100/3.6*1000000</f>
        <v>2.113558368329727</v>
      </c>
      <c r="O8" s="33"/>
      <c r="P8" s="33"/>
      <c r="R8" s="32"/>
    </row>
    <row r="9" spans="1:18">
      <c r="A9" s="32" t="s">
        <v>51</v>
      </c>
      <c r="B9" s="37">
        <f t="shared" si="0"/>
        <v>419.64190943017798</v>
      </c>
      <c r="C9" s="33"/>
      <c r="D9" s="37">
        <f>IF(ISERROR(TER_gezond_gas_kWh/1000),0,TER_gezond_gas_kWh/1000)*0.902</f>
        <v>736.9904004205664</v>
      </c>
      <c r="E9" s="33">
        <f>$C$29*'E Balans VL '!I10/100/3.6*1000000</f>
        <v>2.6273726745669627E-2</v>
      </c>
      <c r="F9" s="33">
        <f>$C$29*('E Balans VL '!L10+'E Balans VL '!N10)/100/3.6*1000000</f>
        <v>62.339083333786597</v>
      </c>
      <c r="G9" s="34"/>
      <c r="H9" s="33"/>
      <c r="I9" s="33"/>
      <c r="J9" s="33">
        <f>$C$29*('E Balans VL '!D10+'E Balans VL '!E10)/100/3.6*1000000</f>
        <v>0</v>
      </c>
      <c r="K9" s="33"/>
      <c r="L9" s="33"/>
      <c r="M9" s="33"/>
      <c r="N9" s="33">
        <f>$C$29*'E Balans VL '!Y10/100/3.6*1000000</f>
        <v>6.4910615470489903</v>
      </c>
      <c r="O9" s="33"/>
      <c r="P9" s="33"/>
      <c r="R9" s="32"/>
    </row>
    <row r="10" spans="1:18">
      <c r="A10" s="32" t="s">
        <v>50</v>
      </c>
      <c r="B10" s="37">
        <f t="shared" si="0"/>
        <v>394.791603022532</v>
      </c>
      <c r="C10" s="33"/>
      <c r="D10" s="37">
        <f>IF(ISERROR(TER_ander_gas_kWh/1000),0,TER_ander_gas_kWh/1000)*0.902</f>
        <v>1143.0690113314959</v>
      </c>
      <c r="E10" s="33">
        <f>$C$30*'E Balans VL '!I14/100/3.6*1000000</f>
        <v>0.47057748333470933</v>
      </c>
      <c r="F10" s="33">
        <f>$C$30*('E Balans VL '!L14+'E Balans VL '!N14)/100/3.6*1000000</f>
        <v>103.29503440684964</v>
      </c>
      <c r="G10" s="34"/>
      <c r="H10" s="33"/>
      <c r="I10" s="33"/>
      <c r="J10" s="33">
        <f>$C$30*('E Balans VL '!D14+'E Balans VL '!E14)/100/3.6*1000000</f>
        <v>8.5693781612659423E-3</v>
      </c>
      <c r="K10" s="33"/>
      <c r="L10" s="33"/>
      <c r="M10" s="33"/>
      <c r="N10" s="33">
        <f>$C$30*'E Balans VL '!Y14/100/3.6*1000000</f>
        <v>335.24736887218819</v>
      </c>
      <c r="O10" s="33"/>
      <c r="P10" s="33"/>
      <c r="R10" s="32"/>
    </row>
    <row r="11" spans="1:18">
      <c r="A11" s="32" t="s">
        <v>55</v>
      </c>
      <c r="B11" s="37">
        <f t="shared" si="0"/>
        <v>449.261209148955</v>
      </c>
      <c r="C11" s="33"/>
      <c r="D11" s="37">
        <f>IF(ISERROR(TER_onderwijs_gas_kWh/1000),0,TER_onderwijs_gas_kWh/1000)*0.902</f>
        <v>147.79145612297953</v>
      </c>
      <c r="E11" s="33">
        <f>$C$31*'E Balans VL '!I11/100/3.6*1000000</f>
        <v>6.7786280420731151</v>
      </c>
      <c r="F11" s="33">
        <f>$C$31*('E Balans VL '!L11+'E Balans VL '!N11)/100/3.6*1000000</f>
        <v>78.717741004231215</v>
      </c>
      <c r="G11" s="34"/>
      <c r="H11" s="33"/>
      <c r="I11" s="33"/>
      <c r="J11" s="33">
        <f>$C$31*('E Balans VL '!D11+'E Balans VL '!E11)/100/3.6*1000000</f>
        <v>0</v>
      </c>
      <c r="K11" s="33"/>
      <c r="L11" s="33"/>
      <c r="M11" s="33"/>
      <c r="N11" s="33">
        <f>$C$31*'E Balans VL '!Y11/100/3.6*1000000</f>
        <v>1.2642551966829323</v>
      </c>
      <c r="O11" s="33"/>
      <c r="P11" s="33"/>
      <c r="R11" s="32"/>
    </row>
    <row r="12" spans="1:18">
      <c r="A12" s="32" t="s">
        <v>260</v>
      </c>
      <c r="B12" s="37">
        <f t="shared" si="0"/>
        <v>2373.9009208654502</v>
      </c>
      <c r="C12" s="33"/>
      <c r="D12" s="37">
        <f>IF(ISERROR(TER_rest_gas_kWh/1000),0,TER_rest_gas_kWh/1000)*0.902</f>
        <v>7483.1893001406424</v>
      </c>
      <c r="E12" s="33">
        <f>$C$32*'E Balans VL '!I8/100/3.6*1000000</f>
        <v>29.479059767310257</v>
      </c>
      <c r="F12" s="33">
        <f>$C$32*('E Balans VL '!L8+'E Balans VL '!N8)/100/3.6*1000000</f>
        <v>410.50609811185018</v>
      </c>
      <c r="G12" s="34"/>
      <c r="H12" s="33"/>
      <c r="I12" s="33"/>
      <c r="J12" s="33">
        <f>$C$32*('E Balans VL '!D8+'E Balans VL '!E8)/100/3.6*1000000</f>
        <v>5.7484609888693245E-3</v>
      </c>
      <c r="K12" s="33"/>
      <c r="L12" s="33"/>
      <c r="M12" s="33"/>
      <c r="N12" s="33">
        <f>$C$32*'E Balans VL '!Y8/100/3.6*1000000</f>
        <v>229.86638012814959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8466.8356496561155</v>
      </c>
      <c r="C16" s="21">
        <f t="shared" ca="1" si="1"/>
        <v>0</v>
      </c>
      <c r="D16" s="21">
        <f t="shared" ca="1" si="1"/>
        <v>18583.722750338318</v>
      </c>
      <c r="E16" s="21">
        <f t="shared" si="1"/>
        <v>96.893815464152325</v>
      </c>
      <c r="F16" s="21">
        <f t="shared" ca="1" si="1"/>
        <v>1437.2643850861689</v>
      </c>
      <c r="G16" s="21">
        <f t="shared" si="1"/>
        <v>0</v>
      </c>
      <c r="H16" s="21">
        <f t="shared" si="1"/>
        <v>0</v>
      </c>
      <c r="I16" s="21">
        <f t="shared" si="1"/>
        <v>0</v>
      </c>
      <c r="J16" s="21">
        <f t="shared" si="1"/>
        <v>1.4317839150135268E-2</v>
      </c>
      <c r="K16" s="21">
        <f t="shared" si="1"/>
        <v>0</v>
      </c>
      <c r="L16" s="21">
        <f t="shared" ca="1" si="1"/>
        <v>0</v>
      </c>
      <c r="M16" s="21">
        <f t="shared" si="1"/>
        <v>0</v>
      </c>
      <c r="N16" s="21">
        <f t="shared" ca="1" si="1"/>
        <v>577.91858506034077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0.2158655367841428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1827.6980223761338</v>
      </c>
      <c r="C20" s="23">
        <f t="shared" ref="C20:P20" ca="1" si="2">C16*C18</f>
        <v>0</v>
      </c>
      <c r="D20" s="23">
        <f t="shared" ca="1" si="2"/>
        <v>3753.9119955683404</v>
      </c>
      <c r="E20" s="23">
        <f t="shared" si="2"/>
        <v>21.994896110362578</v>
      </c>
      <c r="F20" s="23">
        <f t="shared" ca="1" si="2"/>
        <v>383.74959081800711</v>
      </c>
      <c r="G20" s="23">
        <f t="shared" si="2"/>
        <v>0</v>
      </c>
      <c r="H20" s="23">
        <f t="shared" si="2"/>
        <v>0</v>
      </c>
      <c r="I20" s="23">
        <f t="shared" si="2"/>
        <v>0</v>
      </c>
      <c r="J20" s="23">
        <f t="shared" si="2"/>
        <v>5.0685150591478845E-3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2969.6027865553096</v>
      </c>
      <c r="C26" s="39">
        <f>IF(ISERROR(B26*3.6/1000000/'E Balans VL '!Z12*100),0,B26*3.6/1000000/'E Balans VL '!Z12*100)</f>
        <v>6.2772698676980765E-2</v>
      </c>
      <c r="D26" s="237" t="s">
        <v>754</v>
      </c>
      <c r="F26" s="6"/>
    </row>
    <row r="27" spans="1:18">
      <c r="A27" s="231" t="s">
        <v>53</v>
      </c>
      <c r="B27" s="33">
        <f>IF(ISERROR(TER_horeca_ele_kWh/1000),0,TER_horeca_ele_kWh/1000)</f>
        <v>333.85577538006004</v>
      </c>
      <c r="C27" s="39">
        <f>IF(ISERROR(B27*3.6/1000000/'E Balans VL '!Z9*100),0,B27*3.6/1000000/'E Balans VL '!Z9*100)</f>
        <v>2.6317726338810042E-2</v>
      </c>
      <c r="D27" s="237" t="s">
        <v>754</v>
      </c>
      <c r="F27" s="6"/>
    </row>
    <row r="28" spans="1:18">
      <c r="A28" s="171" t="s">
        <v>52</v>
      </c>
      <c r="B28" s="33">
        <f>IF(ISERROR(TER_handel_ele_kWh/1000),0,TER_handel_ele_kWh/1000)</f>
        <v>1525.78144525363</v>
      </c>
      <c r="C28" s="39">
        <f>IF(ISERROR(B28*3.6/1000000/'E Balans VL '!Z13*100),0,B28*3.6/1000000/'E Balans VL '!Z13*100)</f>
        <v>4.4284342389108E-2</v>
      </c>
      <c r="D28" s="237" t="s">
        <v>754</v>
      </c>
      <c r="F28" s="6"/>
    </row>
    <row r="29" spans="1:18">
      <c r="A29" s="231" t="s">
        <v>51</v>
      </c>
      <c r="B29" s="33">
        <f>IF(ISERROR(TER_gezond_ele_kWh/1000),0,TER_gezond_ele_kWh/1000)</f>
        <v>419.64190943017798</v>
      </c>
      <c r="C29" s="39">
        <f>IF(ISERROR(B29*3.6/1000000/'E Balans VL '!Z10*100),0,B29*3.6/1000000/'E Balans VL '!Z10*100)</f>
        <v>4.4195183765038483E-2</v>
      </c>
      <c r="D29" s="237" t="s">
        <v>754</v>
      </c>
      <c r="F29" s="6"/>
    </row>
    <row r="30" spans="1:18">
      <c r="A30" s="231" t="s">
        <v>50</v>
      </c>
      <c r="B30" s="33">
        <f>IF(ISERROR(TER_ander_ele_kWh/1000),0,TER_ander_ele_kWh/1000)</f>
        <v>394.791603022532</v>
      </c>
      <c r="C30" s="39">
        <f>IF(ISERROR(B30*3.6/1000000/'E Balans VL '!Z14*100),0,B30*3.6/1000000/'E Balans VL '!Z14*100)</f>
        <v>2.9119914387251592E-2</v>
      </c>
      <c r="D30" s="237" t="s">
        <v>754</v>
      </c>
      <c r="F30" s="6"/>
    </row>
    <row r="31" spans="1:18">
      <c r="A31" s="231" t="s">
        <v>55</v>
      </c>
      <c r="B31" s="33">
        <f>IF(ISERROR(TER_onderwijs_ele_kWh/1000),0,TER_onderwijs_ele_kWh/1000)</f>
        <v>449.261209148955</v>
      </c>
      <c r="C31" s="39">
        <f>IF(ISERROR(B31*3.6/1000000/'E Balans VL '!Z11*100),0,B31*3.6/1000000/'E Balans VL '!Z11*100)</f>
        <v>0.11157260286608393</v>
      </c>
      <c r="D31" s="237" t="s">
        <v>754</v>
      </c>
    </row>
    <row r="32" spans="1:18">
      <c r="A32" s="231" t="s">
        <v>260</v>
      </c>
      <c r="B32" s="33">
        <f>IF(ISERROR(TER_rest_ele_kWh/1000),0,TER_rest_ele_kWh/1000)</f>
        <v>2373.9009208654502</v>
      </c>
      <c r="C32" s="39">
        <f>IF(ISERROR(B32*3.6/1000000/'E Balans VL '!Z8*100),0,B32*3.6/1000000/'E Balans VL '!Z8*100)</f>
        <v>1.9534053545561043E-2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417.05852946409595</v>
      </c>
      <c r="C5" s="17">
        <f>IF(ISERROR('Eigen informatie GS &amp; warmtenet'!B59),0,'Eigen informatie GS &amp; warmtenet'!B59)</f>
        <v>0</v>
      </c>
      <c r="D5" s="30">
        <f>SUM(D6:D15)</f>
        <v>960.92505779148382</v>
      </c>
      <c r="E5" s="17">
        <f>SUM(E6:E15)</f>
        <v>64.712512589525502</v>
      </c>
      <c r="F5" s="17">
        <f>SUM(F6:F15)</f>
        <v>190.17609430220412</v>
      </c>
      <c r="G5" s="18"/>
      <c r="H5" s="17"/>
      <c r="I5" s="17"/>
      <c r="J5" s="17">
        <f>SUM(J6:J15)</f>
        <v>0.38601384498418767</v>
      </c>
      <c r="K5" s="17"/>
      <c r="L5" s="17"/>
      <c r="M5" s="17"/>
      <c r="N5" s="17">
        <f>SUM(N6:N15)</f>
        <v>92.849741707765645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82.069000000000003</v>
      </c>
      <c r="C8" s="33"/>
      <c r="D8" s="37">
        <f>IF( ISERROR(IND_metaal_Gas_kWH/1000),0,IND_metaal_Gas_kWH/1000)*0.902</f>
        <v>0</v>
      </c>
      <c r="E8" s="33">
        <f>C30*'E Balans VL '!I18/100/3.6*1000000</f>
        <v>0.75454519200600656</v>
      </c>
      <c r="F8" s="33">
        <f>C30*'E Balans VL '!L18/100/3.6*1000000+C30*'E Balans VL '!N18/100/3.6*1000000</f>
        <v>7.6953398464086424</v>
      </c>
      <c r="G8" s="34"/>
      <c r="H8" s="33"/>
      <c r="I8" s="33"/>
      <c r="J8" s="40">
        <f>C30*'E Balans VL '!D18/100/3.6*1000000+C30*'E Balans VL '!E18/100/3.6*1000000</f>
        <v>0</v>
      </c>
      <c r="K8" s="33"/>
      <c r="L8" s="33"/>
      <c r="M8" s="33"/>
      <c r="N8" s="33">
        <f>C30*'E Balans VL '!Y18/100/3.6*1000000</f>
        <v>1.1708499097337997</v>
      </c>
      <c r="O8" s="33"/>
      <c r="P8" s="33"/>
      <c r="R8" s="32"/>
    </row>
    <row r="9" spans="1:18">
      <c r="A9" s="6" t="s">
        <v>33</v>
      </c>
      <c r="B9" s="37">
        <f t="shared" si="0"/>
        <v>198.218192693302</v>
      </c>
      <c r="C9" s="33"/>
      <c r="D9" s="37">
        <f>IF( ISERROR(IND_andere_gas_kWh/1000),0,IND_andere_gas_kWh/1000)*0.902</f>
        <v>528.01845031868993</v>
      </c>
      <c r="E9" s="33">
        <f>C31*'E Balans VL '!I19/100/3.6*1000000</f>
        <v>57.943036577314821</v>
      </c>
      <c r="F9" s="33">
        <f>C31*'E Balans VL '!L19/100/3.6*1000000+C31*'E Balans VL '!N19/100/3.6*1000000</f>
        <v>159.28332156762272</v>
      </c>
      <c r="G9" s="34"/>
      <c r="H9" s="33"/>
      <c r="I9" s="33"/>
      <c r="J9" s="40">
        <f>C31*'E Balans VL '!D19/100/3.6*1000000+C31*'E Balans VL '!E19/100/3.6*1000000</f>
        <v>0</v>
      </c>
      <c r="K9" s="33"/>
      <c r="L9" s="33"/>
      <c r="M9" s="33"/>
      <c r="N9" s="33">
        <f>C31*'E Balans VL '!Y19/100/3.6*1000000</f>
        <v>65.494365012078518</v>
      </c>
      <c r="O9" s="33"/>
      <c r="P9" s="33"/>
      <c r="R9" s="32"/>
    </row>
    <row r="10" spans="1:18">
      <c r="A10" s="6" t="s">
        <v>41</v>
      </c>
      <c r="B10" s="37">
        <f t="shared" si="0"/>
        <v>28.945667676666901</v>
      </c>
      <c r="C10" s="33"/>
      <c r="D10" s="37">
        <f>IF( ISERROR(IND_voed_gas_kWh/1000),0,IND_voed_gas_kWh/1000)*0.902</f>
        <v>0</v>
      </c>
      <c r="E10" s="33">
        <f>C32*'E Balans VL '!I20/100/3.6*1000000</f>
        <v>6.123500877788178E-2</v>
      </c>
      <c r="F10" s="33">
        <f>C32*'E Balans VL '!L20/100/3.6*1000000+C32*'E Balans VL '!N20/100/3.6*1000000</f>
        <v>1.8403951180149707</v>
      </c>
      <c r="G10" s="34"/>
      <c r="H10" s="33"/>
      <c r="I10" s="33"/>
      <c r="J10" s="40">
        <f>C32*'E Balans VL '!D20/100/3.6*1000000+C32*'E Balans VL '!E20/100/3.6*1000000</f>
        <v>0</v>
      </c>
      <c r="K10" s="33"/>
      <c r="L10" s="33"/>
      <c r="M10" s="33"/>
      <c r="N10" s="33">
        <f>C32*'E Balans VL '!Y20/100/3.6*1000000</f>
        <v>1.9975367125182129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107.82566909412701</v>
      </c>
      <c r="C15" s="33"/>
      <c r="D15" s="37">
        <f>IF( ISERROR(IND_rest_gas_kWh/1000),0,IND_rest_gas_kWh/1000)*0.902</f>
        <v>432.90660747279395</v>
      </c>
      <c r="E15" s="33">
        <f>C37*'E Balans VL '!I15/100/3.6*1000000</f>
        <v>5.9536958114267948</v>
      </c>
      <c r="F15" s="33">
        <f>C37*'E Balans VL '!L15/100/3.6*1000000+C37*'E Balans VL '!N15/100/3.6*1000000</f>
        <v>21.357037770157763</v>
      </c>
      <c r="G15" s="34"/>
      <c r="H15" s="33"/>
      <c r="I15" s="33"/>
      <c r="J15" s="40">
        <f>C37*'E Balans VL '!D15/100/3.6*1000000+C37*'E Balans VL '!E15/100/3.6*1000000</f>
        <v>0.38601384498418767</v>
      </c>
      <c r="K15" s="33"/>
      <c r="L15" s="33"/>
      <c r="M15" s="33"/>
      <c r="N15" s="33">
        <f>C37*'E Balans VL '!Y15/100/3.6*1000000</f>
        <v>24.186990073435116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417.05852946409595</v>
      </c>
      <c r="C18" s="21">
        <f>C5+C16</f>
        <v>0</v>
      </c>
      <c r="D18" s="21">
        <f>MAX((D5+D16),0)</f>
        <v>960.92505779148382</v>
      </c>
      <c r="E18" s="21">
        <f>MAX((E5+E16),0)</f>
        <v>64.712512589525502</v>
      </c>
      <c r="F18" s="21">
        <f>MAX((F5+F16),0)</f>
        <v>190.17609430220412</v>
      </c>
      <c r="G18" s="21"/>
      <c r="H18" s="21"/>
      <c r="I18" s="21"/>
      <c r="J18" s="21">
        <f>MAX((J5+J16),0)</f>
        <v>0.38601384498418767</v>
      </c>
      <c r="K18" s="21"/>
      <c r="L18" s="21">
        <f>MAX((L5+L16),0)</f>
        <v>0</v>
      </c>
      <c r="M18" s="21"/>
      <c r="N18" s="21">
        <f>MAX((N5+N16),0)</f>
        <v>92.849741707765645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0.2158655367841428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90.028563333172315</v>
      </c>
      <c r="C22" s="23">
        <f ca="1">C18*C20</f>
        <v>0</v>
      </c>
      <c r="D22" s="23">
        <f>D18*D20</f>
        <v>194.10686167387973</v>
      </c>
      <c r="E22" s="23">
        <f>E18*E20</f>
        <v>14.68974035782229</v>
      </c>
      <c r="F22" s="23">
        <f>F18*F20</f>
        <v>50.777017178688503</v>
      </c>
      <c r="G22" s="23"/>
      <c r="H22" s="23"/>
      <c r="I22" s="23"/>
      <c r="J22" s="23">
        <f>J18*J20</f>
        <v>0.13664890112440242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82.069000000000003</v>
      </c>
      <c r="C30" s="39">
        <f>IF(ISERROR(B30*3.6/1000000/'E Balans VL '!Z18*100),0,B30*3.6/1000000/'E Balans VL '!Z18*100)</f>
        <v>4.6510606686797082E-3</v>
      </c>
      <c r="D30" s="237" t="s">
        <v>754</v>
      </c>
    </row>
    <row r="31" spans="1:18">
      <c r="A31" s="6" t="s">
        <v>33</v>
      </c>
      <c r="B31" s="37">
        <f>IF( ISERROR(IND_ander_ele_kWh/1000),0,IND_ander_ele_kWh/1000)</f>
        <v>198.218192693302</v>
      </c>
      <c r="C31" s="39">
        <f>IF(ISERROR(B31*3.6/1000000/'E Balans VL '!Z19*100),0,B31*3.6/1000000/'E Balans VL '!Z19*100)</f>
        <v>8.9903518543790507E-3</v>
      </c>
      <c r="D31" s="237" t="s">
        <v>754</v>
      </c>
    </row>
    <row r="32" spans="1:18">
      <c r="A32" s="171" t="s">
        <v>41</v>
      </c>
      <c r="B32" s="37">
        <f>IF( ISERROR(IND_voed_ele_kWh/1000),0,IND_voed_ele_kWh/1000)</f>
        <v>28.945667676666901</v>
      </c>
      <c r="C32" s="39">
        <f>IF(ISERROR(B32*3.6/1000000/'E Balans VL '!Z20*100),0,B32*3.6/1000000/'E Balans VL '!Z20*100)</f>
        <v>8.9542090347554673E-4</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107.82566909412701</v>
      </c>
      <c r="C37" s="39">
        <f>IF(ISERROR(B37*3.6/1000000/'E Balans VL '!Z15*100),0,B37*3.6/1000000/'E Balans VL '!Z15*100)</f>
        <v>8.5465085008662282E-4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91.800435764051997</v>
      </c>
      <c r="C5" s="17">
        <f>'Eigen informatie GS &amp; warmtenet'!B60</f>
        <v>0</v>
      </c>
      <c r="D5" s="30">
        <f>IF(ISERROR(SUM(LB_lb_gas_kWh,LB_rest_gas_kWh,onbekend_gas_kWh)/1000),0,SUM(LB_lb_gas_kWh,LB_rest_gas_kWh,onbekend_gas_kWh)/1000)*0.902</f>
        <v>2622.8083422345148</v>
      </c>
      <c r="E5" s="17">
        <f>B17*'E Balans VL '!I25/3.6*1000000/100</f>
        <v>2.6982951979994492</v>
      </c>
      <c r="F5" s="17">
        <f>B17*('E Balans VL '!L25/3.6*1000000+'E Balans VL '!N25/3.6*1000000)/100</f>
        <v>382.4356547578642</v>
      </c>
      <c r="G5" s="18"/>
      <c r="H5" s="17"/>
      <c r="I5" s="17"/>
      <c r="J5" s="17">
        <f>('E Balans VL '!D25+'E Balans VL '!E25)/3.6*1000000*landbouw!B17/100</f>
        <v>13.299911705286288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91.800435764051997</v>
      </c>
      <c r="C8" s="21">
        <f>C5+C6</f>
        <v>0</v>
      </c>
      <c r="D8" s="21">
        <f>MAX((D5+D6),0)</f>
        <v>2622.8083422345148</v>
      </c>
      <c r="E8" s="21">
        <f>MAX((E5+E6),0)</f>
        <v>2.6982951979994492</v>
      </c>
      <c r="F8" s="21">
        <f>MAX((F5+F6),0)</f>
        <v>382.4356547578642</v>
      </c>
      <c r="G8" s="21"/>
      <c r="H8" s="21"/>
      <c r="I8" s="21"/>
      <c r="J8" s="21">
        <f>MAX((J5+J6),0)</f>
        <v>13.299911705286288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0.2158655367841428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19.816550343225305</v>
      </c>
      <c r="C12" s="23">
        <f ca="1">C8*C10</f>
        <v>0</v>
      </c>
      <c r="D12" s="23">
        <f>D8*D10</f>
        <v>529.80728513137205</v>
      </c>
      <c r="E12" s="23">
        <f>E8*E10</f>
        <v>0.61251300994587499</v>
      </c>
      <c r="F12" s="23">
        <f>F8*F10</f>
        <v>102.11031982034974</v>
      </c>
      <c r="G12" s="23"/>
      <c r="H12" s="23"/>
      <c r="I12" s="23"/>
      <c r="J12" s="23">
        <f>J8*J10</f>
        <v>4.7081687436713455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1.3026769850002626E-2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1.0920000000000001</v>
      </c>
      <c r="C26" s="247">
        <f>B26*'GWP N2O_CH4'!B5</f>
        <v>22.932000000000002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8.7090000000000001E-2</v>
      </c>
      <c r="C27" s="247">
        <f>B27*'GWP N2O_CH4'!B5</f>
        <v>1.8288899999999999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5.3865141400011307E-3</v>
      </c>
      <c r="C28" s="247">
        <f>B28*'GWP N2O_CH4'!B4</f>
        <v>1.6698193834003505</v>
      </c>
      <c r="D28" s="50"/>
    </row>
    <row r="29" spans="1:4">
      <c r="A29" s="41" t="s">
        <v>277</v>
      </c>
      <c r="B29" s="247">
        <f>B34*'ha_N2O bodem landbouw'!B4</f>
        <v>0.62635576186580322</v>
      </c>
      <c r="C29" s="247">
        <f>B29*'GWP N2O_CH4'!B4</f>
        <v>194.17028617839901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1.4293222633979475E-4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1.5687623911789266E-4</v>
      </c>
      <c r="C5" s="463" t="s">
        <v>211</v>
      </c>
      <c r="D5" s="448">
        <f>SUM(D6:D11)</f>
        <v>5.3861771970651869E-4</v>
      </c>
      <c r="E5" s="448">
        <f>SUM(E6:E11)</f>
        <v>8.379800375059236E-4</v>
      </c>
      <c r="F5" s="461" t="s">
        <v>211</v>
      </c>
      <c r="G5" s="448">
        <f>SUM(G6:G11)</f>
        <v>0.27843754250555397</v>
      </c>
      <c r="H5" s="448">
        <f>SUM(H6:H11)</f>
        <v>6.2505961387860826E-2</v>
      </c>
      <c r="I5" s="463" t="s">
        <v>211</v>
      </c>
      <c r="J5" s="463" t="s">
        <v>211</v>
      </c>
      <c r="K5" s="463" t="s">
        <v>211</v>
      </c>
      <c r="L5" s="463" t="s">
        <v>211</v>
      </c>
      <c r="M5" s="448">
        <f>SUM(M6:M11)</f>
        <v>1.8123012046999041E-2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2.5378608575271083E-5</v>
      </c>
      <c r="C6" s="449"/>
      <c r="D6" s="962">
        <f>vkm_2011_GW_PW*SUMIFS(TableVerdeelsleutelVkm[CNG],TableVerdeelsleutelVkm[Voertuigtype],"Lichte voertuigen")*SUMIFS(TableECFTransport[EnergieConsumptieFactor (PJ per km)],TableECFTransport[Index],CONCATENATE($A6,"_CNG_CNG"))</f>
        <v>7.6121259729428447E-5</v>
      </c>
      <c r="E6" s="962">
        <f>vkm_2011_GW_PW*SUMIFS(TableVerdeelsleutelVkm[LPG],TableVerdeelsleutelVkm[Voertuigtype],"Lichte voertuigen")*SUMIFS(TableECFTransport[EnergieConsumptieFactor (PJ per km)],TableECFTransport[Index],CONCATENATE($A6,"_LPG_LPG"))</f>
        <v>1.0399257507049341E-4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2.6887712819494924E-2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8.656403077843728E-3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1.827822722358049E-3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5.3537685824191321E-3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1.6314344766900514E-6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3.1285645876473819E-4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2.2737086290839352E-5</v>
      </c>
      <c r="C8" s="449"/>
      <c r="D8" s="451">
        <f>vkm_2011_NGW_PW*SUMIFS(TableVerdeelsleutelVkm[CNG],TableVerdeelsleutelVkm[Voertuigtype],"Lichte voertuigen")*SUMIFS(TableECFTransport[EnergieConsumptieFactor (PJ per km)],TableECFTransport[Index],CONCATENATE($A8,"_CNG_CNG"))</f>
        <v>1.2125717953310089E-4</v>
      </c>
      <c r="E8" s="451">
        <f>vkm_2011_NGW_PW*SUMIFS(TableVerdeelsleutelVkm[LPG],TableVerdeelsleutelVkm[Voertuigtype],"Lichte voertuigen")*SUMIFS(TableECFTransport[EnergieConsumptieFactor (PJ per km)],TableECFTransport[Index],CONCATENATE($A8,"_LPG_LPG"))</f>
        <v>1.5341507280522141E-4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3.6964613004254999E-2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1.3400078948787619E-2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2.5573379877199703E-3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7.5283358780682845E-4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2.1596803651552298E-7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4.3992696313353712E-5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1.0876054425178224E-4</v>
      </c>
      <c r="C10" s="449"/>
      <c r="D10" s="451">
        <f>vkm_2011_SW_PW*SUMIFS(TableVerdeelsleutelVkm[CNG],TableVerdeelsleutelVkm[Voertuigtype],"Lichte voertuigen")*SUMIFS(TableECFTransport[EnergieConsumptieFactor (PJ per km)],TableECFTransport[Index],CONCATENATE($A10,"_CNG_CNG"))</f>
        <v>3.4123928044398928E-4</v>
      </c>
      <c r="E10" s="451">
        <f>vkm_2011_SW_PW*SUMIFS(TableVerdeelsleutelVkm[LPG],TableVerdeelsleutelVkm[Voertuigtype],"Lichte voertuigen")*SUMIFS(TableECFTransport[EnergieConsumptieFactor (PJ per km)],TableECFTransport[Index],CONCATENATE($A10,"_LPG_LPG"))</f>
        <v>5.8057238963020875E-4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0.13382325121122554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4.042306504608216E-2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9.0183367195168611E-3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7.4655363300352565E-2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2.456691263411108E-5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4.3626654623260671E-3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43.57673308830352</v>
      </c>
      <c r="C14" s="21"/>
      <c r="D14" s="21">
        <f t="shared" ref="D14:M14" si="0">((D5)*10^9/3600)+D12</f>
        <v>149.61603325181073</v>
      </c>
      <c r="E14" s="21">
        <f t="shared" si="0"/>
        <v>232.77223264053436</v>
      </c>
      <c r="F14" s="21"/>
      <c r="G14" s="21">
        <f t="shared" si="0"/>
        <v>77343.761807098315</v>
      </c>
      <c r="H14" s="21">
        <f t="shared" si="0"/>
        <v>17362.767052183564</v>
      </c>
      <c r="I14" s="21"/>
      <c r="J14" s="21"/>
      <c r="K14" s="21"/>
      <c r="L14" s="21"/>
      <c r="M14" s="21">
        <f t="shared" si="0"/>
        <v>5034.170013055289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0.2158655367841428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9.406714879405957</v>
      </c>
      <c r="C18" s="23"/>
      <c r="D18" s="23">
        <f t="shared" ref="D18:M18" si="1">D14*D16</f>
        <v>30.222438716865771</v>
      </c>
      <c r="E18" s="23">
        <f t="shared" si="1"/>
        <v>52.839296809401297</v>
      </c>
      <c r="F18" s="23"/>
      <c r="G18" s="23">
        <f t="shared" si="1"/>
        <v>20650.78440249525</v>
      </c>
      <c r="H18" s="23">
        <f t="shared" si="1"/>
        <v>4323.3289959937074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2.0111834503037623E-3</v>
      </c>
      <c r="H50" s="321">
        <f t="shared" si="2"/>
        <v>0</v>
      </c>
      <c r="I50" s="321">
        <f t="shared" si="2"/>
        <v>0</v>
      </c>
      <c r="J50" s="321">
        <f t="shared" si="2"/>
        <v>0</v>
      </c>
      <c r="K50" s="321">
        <f t="shared" si="2"/>
        <v>0</v>
      </c>
      <c r="L50" s="321">
        <f t="shared" si="2"/>
        <v>0</v>
      </c>
      <c r="M50" s="321">
        <f t="shared" si="2"/>
        <v>1.1422634145428896E-4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2.0111834503037623E-3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1.1422634145428896E-4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558.66206952882283</v>
      </c>
      <c r="H54" s="21">
        <f t="shared" si="3"/>
        <v>0</v>
      </c>
      <c r="I54" s="21">
        <f t="shared" si="3"/>
        <v>0</v>
      </c>
      <c r="J54" s="21">
        <f t="shared" si="3"/>
        <v>0</v>
      </c>
      <c r="K54" s="21">
        <f t="shared" si="3"/>
        <v>0</v>
      </c>
      <c r="L54" s="21">
        <f t="shared" si="3"/>
        <v>0</v>
      </c>
      <c r="M54" s="21">
        <f t="shared" si="3"/>
        <v>31.729539292858043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0.2158655367841428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149.16277256419571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731.06320805914061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731.06320805914061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9459.6836496561154</v>
      </c>
      <c r="D10" s="718">
        <f ca="1">tertiair!C16</f>
        <v>0</v>
      </c>
      <c r="E10" s="718">
        <f ca="1">tertiair!D16</f>
        <v>18583.722750338318</v>
      </c>
      <c r="F10" s="718">
        <f>tertiair!E16</f>
        <v>96.893815464152325</v>
      </c>
      <c r="G10" s="718">
        <f ca="1">tertiair!F16</f>
        <v>1437.2643850861689</v>
      </c>
      <c r="H10" s="718">
        <f>tertiair!G16</f>
        <v>0</v>
      </c>
      <c r="I10" s="718">
        <f>tertiair!H16</f>
        <v>0</v>
      </c>
      <c r="J10" s="718">
        <f>tertiair!I16</f>
        <v>0</v>
      </c>
      <c r="K10" s="718">
        <f>tertiair!J16</f>
        <v>1.4317839150135268E-2</v>
      </c>
      <c r="L10" s="718">
        <f>tertiair!K16</f>
        <v>0</v>
      </c>
      <c r="M10" s="718">
        <f ca="1">tertiair!L16</f>
        <v>0</v>
      </c>
      <c r="N10" s="718">
        <f>tertiair!M16</f>
        <v>0</v>
      </c>
      <c r="O10" s="718">
        <f ca="1">tertiair!N16</f>
        <v>577.91858506034077</v>
      </c>
      <c r="P10" s="718">
        <f>tertiair!O16</f>
        <v>0</v>
      </c>
      <c r="Q10" s="719">
        <f>tertiair!P16</f>
        <v>0</v>
      </c>
      <c r="R10" s="721">
        <f ca="1">SUM(C10:Q10)</f>
        <v>30155.497503444247</v>
      </c>
      <c r="S10" s="67"/>
    </row>
    <row r="11" spans="1:19" s="474" customFormat="1">
      <c r="A11" s="870" t="s">
        <v>225</v>
      </c>
      <c r="B11" s="875"/>
      <c r="C11" s="718">
        <f>huishoudens!B8</f>
        <v>21454.649852378443</v>
      </c>
      <c r="D11" s="718">
        <f>huishoudens!C8</f>
        <v>0</v>
      </c>
      <c r="E11" s="718">
        <f>huishoudens!D8</f>
        <v>86933.132613671085</v>
      </c>
      <c r="F11" s="718">
        <f>huishoudens!E8</f>
        <v>2120.6491728651031</v>
      </c>
      <c r="G11" s="718">
        <f>huishoudens!F8</f>
        <v>5656.590631166383</v>
      </c>
      <c r="H11" s="718">
        <f>huishoudens!G8</f>
        <v>0</v>
      </c>
      <c r="I11" s="718">
        <f>huishoudens!H8</f>
        <v>0</v>
      </c>
      <c r="J11" s="718">
        <f>huishoudens!I8</f>
        <v>0</v>
      </c>
      <c r="K11" s="718">
        <f>huishoudens!J8</f>
        <v>0</v>
      </c>
      <c r="L11" s="718">
        <f>huishoudens!K8</f>
        <v>0</v>
      </c>
      <c r="M11" s="718">
        <f>huishoudens!L8</f>
        <v>0</v>
      </c>
      <c r="N11" s="718">
        <f>huishoudens!M8</f>
        <v>0</v>
      </c>
      <c r="O11" s="718">
        <f>huishoudens!N8</f>
        <v>2944.356660769683</v>
      </c>
      <c r="P11" s="718">
        <f>huishoudens!O8</f>
        <v>96.926666666666677</v>
      </c>
      <c r="Q11" s="719">
        <f>huishoudens!P8</f>
        <v>381.33333333333337</v>
      </c>
      <c r="R11" s="721">
        <f>SUM(C11:Q11)</f>
        <v>119587.63893085069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417.05852946409595</v>
      </c>
      <c r="D13" s="718">
        <f>industrie!C18</f>
        <v>0</v>
      </c>
      <c r="E13" s="718">
        <f>industrie!D18</f>
        <v>960.92505779148382</v>
      </c>
      <c r="F13" s="718">
        <f>industrie!E18</f>
        <v>64.712512589525502</v>
      </c>
      <c r="G13" s="718">
        <f>industrie!F18</f>
        <v>190.17609430220412</v>
      </c>
      <c r="H13" s="718">
        <f>industrie!G18</f>
        <v>0</v>
      </c>
      <c r="I13" s="718">
        <f>industrie!H18</f>
        <v>0</v>
      </c>
      <c r="J13" s="718">
        <f>industrie!I18</f>
        <v>0</v>
      </c>
      <c r="K13" s="718">
        <f>industrie!J18</f>
        <v>0.38601384498418767</v>
      </c>
      <c r="L13" s="718">
        <f>industrie!K18</f>
        <v>0</v>
      </c>
      <c r="M13" s="718">
        <f>industrie!L18</f>
        <v>0</v>
      </c>
      <c r="N13" s="718">
        <f>industrie!M18</f>
        <v>0</v>
      </c>
      <c r="O13" s="718">
        <f>industrie!N18</f>
        <v>92.849741707765645</v>
      </c>
      <c r="P13" s="718">
        <f>industrie!O18</f>
        <v>0</v>
      </c>
      <c r="Q13" s="719">
        <f>industrie!P18</f>
        <v>0</v>
      </c>
      <c r="R13" s="721">
        <f>SUM(C13:Q13)</f>
        <v>1726.1079497000592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31331.392031498654</v>
      </c>
      <c r="D15" s="723">
        <f t="shared" ref="D15:Q15" ca="1" si="0">SUM(D9:D14)</f>
        <v>0</v>
      </c>
      <c r="E15" s="723">
        <f t="shared" ca="1" si="0"/>
        <v>106477.78042180088</v>
      </c>
      <c r="F15" s="723">
        <f t="shared" si="0"/>
        <v>2282.2555009187809</v>
      </c>
      <c r="G15" s="723">
        <f t="shared" ca="1" si="0"/>
        <v>7284.0311105547562</v>
      </c>
      <c r="H15" s="723">
        <f t="shared" si="0"/>
        <v>0</v>
      </c>
      <c r="I15" s="723">
        <f t="shared" si="0"/>
        <v>0</v>
      </c>
      <c r="J15" s="723">
        <f t="shared" si="0"/>
        <v>0</v>
      </c>
      <c r="K15" s="723">
        <f t="shared" si="0"/>
        <v>0.40033168413432296</v>
      </c>
      <c r="L15" s="723">
        <f t="shared" si="0"/>
        <v>0</v>
      </c>
      <c r="M15" s="723">
        <f t="shared" ca="1" si="0"/>
        <v>0</v>
      </c>
      <c r="N15" s="723">
        <f t="shared" si="0"/>
        <v>0</v>
      </c>
      <c r="O15" s="723">
        <f t="shared" ca="1" si="0"/>
        <v>3615.1249875377894</v>
      </c>
      <c r="P15" s="723">
        <f t="shared" si="0"/>
        <v>96.926666666666677</v>
      </c>
      <c r="Q15" s="724">
        <f t="shared" si="0"/>
        <v>381.33333333333337</v>
      </c>
      <c r="R15" s="725">
        <f ca="1">SUM(R9:R14)</f>
        <v>151469.24438399498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558.66206952882283</v>
      </c>
      <c r="I18" s="718">
        <f>transport!H54</f>
        <v>0</v>
      </c>
      <c r="J18" s="718">
        <f>transport!I54</f>
        <v>0</v>
      </c>
      <c r="K18" s="718">
        <f>transport!J54</f>
        <v>0</v>
      </c>
      <c r="L18" s="718">
        <f>transport!K54</f>
        <v>0</v>
      </c>
      <c r="M18" s="718">
        <f>transport!L54</f>
        <v>0</v>
      </c>
      <c r="N18" s="718">
        <f>transport!M54</f>
        <v>31.729539292858043</v>
      </c>
      <c r="O18" s="718">
        <f>transport!N54</f>
        <v>0</v>
      </c>
      <c r="P18" s="718">
        <f>transport!O54</f>
        <v>0</v>
      </c>
      <c r="Q18" s="719">
        <f>transport!P54</f>
        <v>0</v>
      </c>
      <c r="R18" s="721">
        <f>SUM(C18:Q18)</f>
        <v>590.39160882168085</v>
      </c>
      <c r="S18" s="67"/>
    </row>
    <row r="19" spans="1:19" s="474" customFormat="1" ht="15" thickBot="1">
      <c r="A19" s="870" t="s">
        <v>307</v>
      </c>
      <c r="B19" s="875"/>
      <c r="C19" s="727">
        <f>transport!B14</f>
        <v>43.57673308830352</v>
      </c>
      <c r="D19" s="727">
        <f>transport!C14</f>
        <v>0</v>
      </c>
      <c r="E19" s="727">
        <f>transport!D14</f>
        <v>149.61603325181073</v>
      </c>
      <c r="F19" s="727">
        <f>transport!E14</f>
        <v>232.77223264053436</v>
      </c>
      <c r="G19" s="727">
        <f>transport!F14</f>
        <v>0</v>
      </c>
      <c r="H19" s="727">
        <f>transport!G14</f>
        <v>77343.761807098315</v>
      </c>
      <c r="I19" s="727">
        <f>transport!H14</f>
        <v>17362.767052183564</v>
      </c>
      <c r="J19" s="727">
        <f>transport!I14</f>
        <v>0</v>
      </c>
      <c r="K19" s="727">
        <f>transport!J14</f>
        <v>0</v>
      </c>
      <c r="L19" s="727">
        <f>transport!K14</f>
        <v>0</v>
      </c>
      <c r="M19" s="727">
        <f>transport!L14</f>
        <v>0</v>
      </c>
      <c r="N19" s="727">
        <f>transport!M14</f>
        <v>5034.170013055289</v>
      </c>
      <c r="O19" s="727">
        <f>transport!N14</f>
        <v>0</v>
      </c>
      <c r="P19" s="727">
        <f>transport!O14</f>
        <v>0</v>
      </c>
      <c r="Q19" s="728">
        <f>transport!P14</f>
        <v>0</v>
      </c>
      <c r="R19" s="729">
        <f>SUM(C19:Q19)</f>
        <v>100166.66387131783</v>
      </c>
      <c r="S19" s="67"/>
    </row>
    <row r="20" spans="1:19" s="474" customFormat="1" ht="15.75" thickBot="1">
      <c r="A20" s="730" t="s">
        <v>230</v>
      </c>
      <c r="B20" s="878"/>
      <c r="C20" s="873">
        <f>SUM(C17:C19)</f>
        <v>43.57673308830352</v>
      </c>
      <c r="D20" s="731">
        <f t="shared" ref="D20:R20" si="1">SUM(D17:D19)</f>
        <v>0</v>
      </c>
      <c r="E20" s="731">
        <f t="shared" si="1"/>
        <v>149.61603325181073</v>
      </c>
      <c r="F20" s="731">
        <f t="shared" si="1"/>
        <v>232.77223264053436</v>
      </c>
      <c r="G20" s="731">
        <f t="shared" si="1"/>
        <v>0</v>
      </c>
      <c r="H20" s="731">
        <f t="shared" si="1"/>
        <v>77902.423876627145</v>
      </c>
      <c r="I20" s="731">
        <f t="shared" si="1"/>
        <v>17362.767052183564</v>
      </c>
      <c r="J20" s="731">
        <f t="shared" si="1"/>
        <v>0</v>
      </c>
      <c r="K20" s="731">
        <f t="shared" si="1"/>
        <v>0</v>
      </c>
      <c r="L20" s="731">
        <f t="shared" si="1"/>
        <v>0</v>
      </c>
      <c r="M20" s="731">
        <f t="shared" si="1"/>
        <v>0</v>
      </c>
      <c r="N20" s="731">
        <f t="shared" si="1"/>
        <v>5065.8995523481472</v>
      </c>
      <c r="O20" s="731">
        <f t="shared" si="1"/>
        <v>0</v>
      </c>
      <c r="P20" s="731">
        <f t="shared" si="1"/>
        <v>0</v>
      </c>
      <c r="Q20" s="732">
        <f t="shared" si="1"/>
        <v>0</v>
      </c>
      <c r="R20" s="733">
        <f t="shared" si="1"/>
        <v>100757.0554801395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91.800435764051997</v>
      </c>
      <c r="D22" s="727">
        <f>+landbouw!C8</f>
        <v>0</v>
      </c>
      <c r="E22" s="727">
        <f>+landbouw!D8</f>
        <v>2622.8083422345148</v>
      </c>
      <c r="F22" s="727">
        <f>+landbouw!E8</f>
        <v>2.6982951979994492</v>
      </c>
      <c r="G22" s="727">
        <f>+landbouw!F8</f>
        <v>382.4356547578642</v>
      </c>
      <c r="H22" s="727">
        <f>+landbouw!G8</f>
        <v>0</v>
      </c>
      <c r="I22" s="727">
        <f>+landbouw!H8</f>
        <v>0</v>
      </c>
      <c r="J22" s="727">
        <f>+landbouw!I8</f>
        <v>0</v>
      </c>
      <c r="K22" s="727">
        <f>+landbouw!J8</f>
        <v>13.299911705286288</v>
      </c>
      <c r="L22" s="727">
        <f>+landbouw!K8</f>
        <v>0</v>
      </c>
      <c r="M22" s="727">
        <f>+landbouw!L8</f>
        <v>0</v>
      </c>
      <c r="N22" s="727">
        <f>+landbouw!M8</f>
        <v>0</v>
      </c>
      <c r="O22" s="727">
        <f>+landbouw!N8</f>
        <v>0</v>
      </c>
      <c r="P22" s="727">
        <f>+landbouw!O8</f>
        <v>0</v>
      </c>
      <c r="Q22" s="728">
        <f>+landbouw!P8</f>
        <v>0</v>
      </c>
      <c r="R22" s="729">
        <f>SUM(C22:Q22)</f>
        <v>3113.0426396597168</v>
      </c>
      <c r="S22" s="67"/>
    </row>
    <row r="23" spans="1:19" s="474" customFormat="1" ht="17.25" thickTop="1" thickBot="1">
      <c r="A23" s="734" t="s">
        <v>116</v>
      </c>
      <c r="B23" s="864"/>
      <c r="C23" s="735">
        <f ca="1">C20+C15+C22</f>
        <v>31466.769200351009</v>
      </c>
      <c r="D23" s="735">
        <f t="shared" ref="D23:Q23" ca="1" si="2">D20+D15+D22</f>
        <v>0</v>
      </c>
      <c r="E23" s="735">
        <f t="shared" ca="1" si="2"/>
        <v>109250.2047972872</v>
      </c>
      <c r="F23" s="735">
        <f t="shared" si="2"/>
        <v>2517.7260287573145</v>
      </c>
      <c r="G23" s="735">
        <f t="shared" ca="1" si="2"/>
        <v>7666.4667653126207</v>
      </c>
      <c r="H23" s="735">
        <f t="shared" si="2"/>
        <v>77902.423876627145</v>
      </c>
      <c r="I23" s="735">
        <f t="shared" si="2"/>
        <v>17362.767052183564</v>
      </c>
      <c r="J23" s="735">
        <f t="shared" si="2"/>
        <v>0</v>
      </c>
      <c r="K23" s="735">
        <f t="shared" si="2"/>
        <v>13.70024338942061</v>
      </c>
      <c r="L23" s="735">
        <f t="shared" si="2"/>
        <v>0</v>
      </c>
      <c r="M23" s="735">
        <f t="shared" ca="1" si="2"/>
        <v>0</v>
      </c>
      <c r="N23" s="735">
        <f t="shared" si="2"/>
        <v>5065.8995523481472</v>
      </c>
      <c r="O23" s="735">
        <f t="shared" ca="1" si="2"/>
        <v>3615.1249875377894</v>
      </c>
      <c r="P23" s="735">
        <f t="shared" si="2"/>
        <v>96.926666666666677</v>
      </c>
      <c r="Q23" s="736">
        <f t="shared" si="2"/>
        <v>381.33333333333337</v>
      </c>
      <c r="R23" s="737">
        <f ca="1">R20+R15+R22</f>
        <v>255339.34250379421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2042.0196888411965</v>
      </c>
      <c r="D36" s="718">
        <f ca="1">tertiair!C20</f>
        <v>0</v>
      </c>
      <c r="E36" s="718">
        <f ca="1">tertiair!D20</f>
        <v>3753.9119955683404</v>
      </c>
      <c r="F36" s="718">
        <f>tertiair!E20</f>
        <v>21.994896110362578</v>
      </c>
      <c r="G36" s="718">
        <f ca="1">tertiair!F20</f>
        <v>383.74959081800711</v>
      </c>
      <c r="H36" s="718">
        <f>tertiair!G20</f>
        <v>0</v>
      </c>
      <c r="I36" s="718">
        <f>tertiair!H20</f>
        <v>0</v>
      </c>
      <c r="J36" s="718">
        <f>tertiair!I20</f>
        <v>0</v>
      </c>
      <c r="K36" s="718">
        <f>tertiair!J20</f>
        <v>5.0685150591478845E-3</v>
      </c>
      <c r="L36" s="718">
        <f>tertiair!K20</f>
        <v>0</v>
      </c>
      <c r="M36" s="718">
        <f ca="1">tertiair!L20</f>
        <v>0</v>
      </c>
      <c r="N36" s="718">
        <f>tertiair!M20</f>
        <v>0</v>
      </c>
      <c r="O36" s="718">
        <f ca="1">tertiair!N20</f>
        <v>0</v>
      </c>
      <c r="P36" s="718">
        <f>tertiair!O20</f>
        <v>0</v>
      </c>
      <c r="Q36" s="828">
        <f>tertiair!P20</f>
        <v>0</v>
      </c>
      <c r="R36" s="917">
        <f ca="1">SUM(C36:Q36)</f>
        <v>6201.6812398529664</v>
      </c>
    </row>
    <row r="37" spans="1:18">
      <c r="A37" s="885" t="s">
        <v>225</v>
      </c>
      <c r="B37" s="892"/>
      <c r="C37" s="718">
        <f ca="1">huishoudens!B12</f>
        <v>4631.3195068995028</v>
      </c>
      <c r="D37" s="718">
        <f ca="1">huishoudens!C12</f>
        <v>0</v>
      </c>
      <c r="E37" s="718">
        <f>huishoudens!D12</f>
        <v>17560.492787961561</v>
      </c>
      <c r="F37" s="718">
        <f>huishoudens!E12</f>
        <v>481.38736224037842</v>
      </c>
      <c r="G37" s="718">
        <f>huishoudens!F12</f>
        <v>1510.3096985214243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24183.509355622864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90.028563333172315</v>
      </c>
      <c r="D39" s="718">
        <f ca="1">industrie!C22</f>
        <v>0</v>
      </c>
      <c r="E39" s="718">
        <f>industrie!D22</f>
        <v>194.10686167387973</v>
      </c>
      <c r="F39" s="718">
        <f>industrie!E22</f>
        <v>14.68974035782229</v>
      </c>
      <c r="G39" s="718">
        <f>industrie!F22</f>
        <v>50.777017178688503</v>
      </c>
      <c r="H39" s="718">
        <f>industrie!G22</f>
        <v>0</v>
      </c>
      <c r="I39" s="718">
        <f>industrie!H22</f>
        <v>0</v>
      </c>
      <c r="J39" s="718">
        <f>industrie!I22</f>
        <v>0</v>
      </c>
      <c r="K39" s="718">
        <f>industrie!J22</f>
        <v>0.13664890112440242</v>
      </c>
      <c r="L39" s="718">
        <f>industrie!K22</f>
        <v>0</v>
      </c>
      <c r="M39" s="718">
        <f>industrie!L22</f>
        <v>0</v>
      </c>
      <c r="N39" s="718">
        <f>industrie!M22</f>
        <v>0</v>
      </c>
      <c r="O39" s="718">
        <f>industrie!N22</f>
        <v>0</v>
      </c>
      <c r="P39" s="718">
        <f>industrie!O22</f>
        <v>0</v>
      </c>
      <c r="Q39" s="828">
        <f>industrie!P22</f>
        <v>0</v>
      </c>
      <c r="R39" s="918">
        <f ca="1">SUM(C39:Q39)</f>
        <v>349.73883144468721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6763.3677590738716</v>
      </c>
      <c r="D41" s="763">
        <f t="shared" ref="D41:R41" ca="1" si="4">SUM(D35:D40)</f>
        <v>0</v>
      </c>
      <c r="E41" s="763">
        <f t="shared" ca="1" si="4"/>
        <v>21508.511645203784</v>
      </c>
      <c r="F41" s="763">
        <f t="shared" si="4"/>
        <v>518.07199870856323</v>
      </c>
      <c r="G41" s="763">
        <f t="shared" ca="1" si="4"/>
        <v>1944.83630651812</v>
      </c>
      <c r="H41" s="763">
        <f t="shared" si="4"/>
        <v>0</v>
      </c>
      <c r="I41" s="763">
        <f t="shared" si="4"/>
        <v>0</v>
      </c>
      <c r="J41" s="763">
        <f t="shared" si="4"/>
        <v>0</v>
      </c>
      <c r="K41" s="763">
        <f t="shared" si="4"/>
        <v>0.1417174161835503</v>
      </c>
      <c r="L41" s="763">
        <f t="shared" si="4"/>
        <v>0</v>
      </c>
      <c r="M41" s="763">
        <f t="shared" ca="1" si="4"/>
        <v>0</v>
      </c>
      <c r="N41" s="763">
        <f t="shared" si="4"/>
        <v>0</v>
      </c>
      <c r="O41" s="763">
        <f t="shared" ca="1" si="4"/>
        <v>0</v>
      </c>
      <c r="P41" s="763">
        <f t="shared" si="4"/>
        <v>0</v>
      </c>
      <c r="Q41" s="764">
        <f t="shared" si="4"/>
        <v>0</v>
      </c>
      <c r="R41" s="765">
        <f t="shared" ca="1" si="4"/>
        <v>30734.929426920517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149.16277256419571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149.16277256419571</v>
      </c>
    </row>
    <row r="45" spans="1:18" ht="15" thickBot="1">
      <c r="A45" s="888" t="s">
        <v>307</v>
      </c>
      <c r="B45" s="898"/>
      <c r="C45" s="727">
        <f ca="1">transport!B18</f>
        <v>9.406714879405957</v>
      </c>
      <c r="D45" s="727">
        <f>transport!C18</f>
        <v>0</v>
      </c>
      <c r="E45" s="727">
        <f>transport!D18</f>
        <v>30.222438716865771</v>
      </c>
      <c r="F45" s="727">
        <f>transport!E18</f>
        <v>52.839296809401297</v>
      </c>
      <c r="G45" s="727">
        <f>transport!F18</f>
        <v>0</v>
      </c>
      <c r="H45" s="727">
        <f>transport!G18</f>
        <v>20650.78440249525</v>
      </c>
      <c r="I45" s="727">
        <f>transport!H18</f>
        <v>4323.3289959937074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25066.581848894628</v>
      </c>
    </row>
    <row r="46" spans="1:18" ht="15.75" thickBot="1">
      <c r="A46" s="886" t="s">
        <v>230</v>
      </c>
      <c r="B46" s="899"/>
      <c r="C46" s="763">
        <f t="shared" ref="C46:R46" ca="1" si="5">SUM(C43:C45)</f>
        <v>9.406714879405957</v>
      </c>
      <c r="D46" s="763">
        <f t="shared" ca="1" si="5"/>
        <v>0</v>
      </c>
      <c r="E46" s="763">
        <f t="shared" si="5"/>
        <v>30.222438716865771</v>
      </c>
      <c r="F46" s="763">
        <f t="shared" si="5"/>
        <v>52.839296809401297</v>
      </c>
      <c r="G46" s="763">
        <f t="shared" si="5"/>
        <v>0</v>
      </c>
      <c r="H46" s="763">
        <f t="shared" si="5"/>
        <v>20799.947175059446</v>
      </c>
      <c r="I46" s="763">
        <f t="shared" si="5"/>
        <v>4323.3289959937074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25215.744621458824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19.816550343225305</v>
      </c>
      <c r="D48" s="718">
        <f ca="1">+landbouw!C12</f>
        <v>0</v>
      </c>
      <c r="E48" s="718">
        <f>+landbouw!D12</f>
        <v>529.80728513137205</v>
      </c>
      <c r="F48" s="718">
        <f>+landbouw!E12</f>
        <v>0.61251300994587499</v>
      </c>
      <c r="G48" s="718">
        <f>+landbouw!F12</f>
        <v>102.11031982034974</v>
      </c>
      <c r="H48" s="718">
        <f>+landbouw!G12</f>
        <v>0</v>
      </c>
      <c r="I48" s="718">
        <f>+landbouw!H12</f>
        <v>0</v>
      </c>
      <c r="J48" s="718">
        <f>+landbouw!I12</f>
        <v>0</v>
      </c>
      <c r="K48" s="718">
        <f>+landbouw!J12</f>
        <v>4.7081687436713455</v>
      </c>
      <c r="L48" s="718">
        <f>+landbouw!K12</f>
        <v>0</v>
      </c>
      <c r="M48" s="718">
        <f>+landbouw!L12</f>
        <v>0</v>
      </c>
      <c r="N48" s="718">
        <f>+landbouw!M12</f>
        <v>0</v>
      </c>
      <c r="O48" s="718">
        <f>+landbouw!N12</f>
        <v>0</v>
      </c>
      <c r="P48" s="718">
        <f>+landbouw!O12</f>
        <v>0</v>
      </c>
      <c r="Q48" s="719">
        <f>+landbouw!P12</f>
        <v>0</v>
      </c>
      <c r="R48" s="761">
        <f ca="1">SUM(C48:Q48)</f>
        <v>657.05483704856442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6792.5910242965028</v>
      </c>
      <c r="D53" s="773">
        <f t="shared" ref="D53:Q53" ca="1" si="6">D41+D46+D48</f>
        <v>0</v>
      </c>
      <c r="E53" s="773">
        <f t="shared" ca="1" si="6"/>
        <v>22068.541369052022</v>
      </c>
      <c r="F53" s="773">
        <f t="shared" si="6"/>
        <v>571.52380852791043</v>
      </c>
      <c r="G53" s="773">
        <f t="shared" ca="1" si="6"/>
        <v>2046.9466263384697</v>
      </c>
      <c r="H53" s="773">
        <f t="shared" si="6"/>
        <v>20799.947175059446</v>
      </c>
      <c r="I53" s="773">
        <f t="shared" si="6"/>
        <v>4323.3289959937074</v>
      </c>
      <c r="J53" s="773">
        <f t="shared" si="6"/>
        <v>0</v>
      </c>
      <c r="K53" s="773">
        <f t="shared" si="6"/>
        <v>4.8498861598548961</v>
      </c>
      <c r="L53" s="773">
        <f t="shared" si="6"/>
        <v>0</v>
      </c>
      <c r="M53" s="773">
        <f t="shared" ca="1" si="6"/>
        <v>0</v>
      </c>
      <c r="N53" s="773">
        <f t="shared" si="6"/>
        <v>0</v>
      </c>
      <c r="O53" s="773">
        <f t="shared" ca="1" si="6"/>
        <v>0</v>
      </c>
      <c r="P53" s="773">
        <f>P41+P46+P48</f>
        <v>0</v>
      </c>
      <c r="Q53" s="774">
        <f t="shared" si="6"/>
        <v>0</v>
      </c>
      <c r="R53" s="775">
        <f ca="1">R41+R46+R48</f>
        <v>56607.728885427903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0.2158655367841428</v>
      </c>
      <c r="D55" s="836">
        <f t="shared" ca="1" si="7"/>
        <v>0</v>
      </c>
      <c r="E55" s="836">
        <f t="shared" ca="1" si="7"/>
        <v>0.20200000000000007</v>
      </c>
      <c r="F55" s="836">
        <f t="shared" si="7"/>
        <v>0.22700000000000001</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731.06320805914061</v>
      </c>
      <c r="C66" s="795">
        <f>'lokale energieproductie'!B6</f>
        <v>731.06320805914061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731.06320805914061</v>
      </c>
      <c r="C69" s="803">
        <f>SUM(C64:C68)</f>
        <v>731.06320805914061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21454.649852378443</v>
      </c>
      <c r="C4" s="478">
        <f>huishoudens!C8</f>
        <v>0</v>
      </c>
      <c r="D4" s="478">
        <f>huishoudens!D8</f>
        <v>86933.132613671085</v>
      </c>
      <c r="E4" s="478">
        <f>huishoudens!E8</f>
        <v>2120.6491728651031</v>
      </c>
      <c r="F4" s="478">
        <f>huishoudens!F8</f>
        <v>5656.590631166383</v>
      </c>
      <c r="G4" s="478">
        <f>huishoudens!G8</f>
        <v>0</v>
      </c>
      <c r="H4" s="478">
        <f>huishoudens!H8</f>
        <v>0</v>
      </c>
      <c r="I4" s="478">
        <f>huishoudens!I8</f>
        <v>0</v>
      </c>
      <c r="J4" s="478">
        <f>huishoudens!J8</f>
        <v>0</v>
      </c>
      <c r="K4" s="478">
        <f>huishoudens!K8</f>
        <v>0</v>
      </c>
      <c r="L4" s="478">
        <f>huishoudens!L8</f>
        <v>0</v>
      </c>
      <c r="M4" s="478">
        <f>huishoudens!M8</f>
        <v>0</v>
      </c>
      <c r="N4" s="478">
        <f>huishoudens!N8</f>
        <v>2944.356660769683</v>
      </c>
      <c r="O4" s="478">
        <f>huishoudens!O8</f>
        <v>96.926666666666677</v>
      </c>
      <c r="P4" s="479">
        <f>huishoudens!P8</f>
        <v>381.33333333333337</v>
      </c>
      <c r="Q4" s="480">
        <f>SUM(B4:P4)</f>
        <v>119587.63893085069</v>
      </c>
    </row>
    <row r="5" spans="1:17">
      <c r="A5" s="477" t="s">
        <v>156</v>
      </c>
      <c r="B5" s="478">
        <f ca="1">tertiair!B16</f>
        <v>8466.8356496561155</v>
      </c>
      <c r="C5" s="478">
        <f ca="1">tertiair!C16</f>
        <v>0</v>
      </c>
      <c r="D5" s="478">
        <f ca="1">tertiair!D16</f>
        <v>18583.722750338318</v>
      </c>
      <c r="E5" s="478">
        <f>tertiair!E16</f>
        <v>96.893815464152325</v>
      </c>
      <c r="F5" s="478">
        <f ca="1">tertiair!F16</f>
        <v>1437.2643850861689</v>
      </c>
      <c r="G5" s="478">
        <f>tertiair!G16</f>
        <v>0</v>
      </c>
      <c r="H5" s="478">
        <f>tertiair!H16</f>
        <v>0</v>
      </c>
      <c r="I5" s="478">
        <f>tertiair!I16</f>
        <v>0</v>
      </c>
      <c r="J5" s="478">
        <f>tertiair!J16</f>
        <v>1.4317839150135268E-2</v>
      </c>
      <c r="K5" s="478">
        <f>tertiair!K16</f>
        <v>0</v>
      </c>
      <c r="L5" s="478">
        <f ca="1">tertiair!L16</f>
        <v>0</v>
      </c>
      <c r="M5" s="478">
        <f>tertiair!M16</f>
        <v>0</v>
      </c>
      <c r="N5" s="478">
        <f ca="1">tertiair!N16</f>
        <v>577.91858506034077</v>
      </c>
      <c r="O5" s="478">
        <f>tertiair!O16</f>
        <v>0</v>
      </c>
      <c r="P5" s="479">
        <f>tertiair!P16</f>
        <v>0</v>
      </c>
      <c r="Q5" s="477">
        <f t="shared" ref="Q5:Q13" ca="1" si="0">SUM(B5:P5)</f>
        <v>29162.649503444249</v>
      </c>
    </row>
    <row r="6" spans="1:17">
      <c r="A6" s="477" t="s">
        <v>194</v>
      </c>
      <c r="B6" s="478">
        <f>'openbare verlichting'!B8</f>
        <v>992.84799999999996</v>
      </c>
      <c r="C6" s="478"/>
      <c r="D6" s="478"/>
      <c r="E6" s="478"/>
      <c r="F6" s="478"/>
      <c r="G6" s="478"/>
      <c r="H6" s="478"/>
      <c r="I6" s="478"/>
      <c r="J6" s="478"/>
      <c r="K6" s="478"/>
      <c r="L6" s="478"/>
      <c r="M6" s="478"/>
      <c r="N6" s="478"/>
      <c r="O6" s="478"/>
      <c r="P6" s="479"/>
      <c r="Q6" s="477">
        <f t="shared" si="0"/>
        <v>992.84799999999996</v>
      </c>
    </row>
    <row r="7" spans="1:17">
      <c r="A7" s="477" t="s">
        <v>112</v>
      </c>
      <c r="B7" s="478">
        <f>landbouw!B8</f>
        <v>91.800435764051997</v>
      </c>
      <c r="C7" s="478">
        <f>landbouw!C8</f>
        <v>0</v>
      </c>
      <c r="D7" s="478">
        <f>landbouw!D8</f>
        <v>2622.8083422345148</v>
      </c>
      <c r="E7" s="478">
        <f>landbouw!E8</f>
        <v>2.6982951979994492</v>
      </c>
      <c r="F7" s="478">
        <f>landbouw!F8</f>
        <v>382.4356547578642</v>
      </c>
      <c r="G7" s="478">
        <f>landbouw!G8</f>
        <v>0</v>
      </c>
      <c r="H7" s="478">
        <f>landbouw!H8</f>
        <v>0</v>
      </c>
      <c r="I7" s="478">
        <f>landbouw!I8</f>
        <v>0</v>
      </c>
      <c r="J7" s="478">
        <f>landbouw!J8</f>
        <v>13.299911705286288</v>
      </c>
      <c r="K7" s="478">
        <f>landbouw!K8</f>
        <v>0</v>
      </c>
      <c r="L7" s="478">
        <f>landbouw!L8</f>
        <v>0</v>
      </c>
      <c r="M7" s="478">
        <f>landbouw!M8</f>
        <v>0</v>
      </c>
      <c r="N7" s="478">
        <f>landbouw!N8</f>
        <v>0</v>
      </c>
      <c r="O7" s="478">
        <f>landbouw!O8</f>
        <v>0</v>
      </c>
      <c r="P7" s="479">
        <f>landbouw!P8</f>
        <v>0</v>
      </c>
      <c r="Q7" s="477">
        <f t="shared" si="0"/>
        <v>3113.0426396597168</v>
      </c>
    </row>
    <row r="8" spans="1:17">
      <c r="A8" s="477" t="s">
        <v>635</v>
      </c>
      <c r="B8" s="478">
        <f>industrie!B18</f>
        <v>417.05852946409595</v>
      </c>
      <c r="C8" s="478">
        <f>industrie!C18</f>
        <v>0</v>
      </c>
      <c r="D8" s="478">
        <f>industrie!D18</f>
        <v>960.92505779148382</v>
      </c>
      <c r="E8" s="478">
        <f>industrie!E18</f>
        <v>64.712512589525502</v>
      </c>
      <c r="F8" s="478">
        <f>industrie!F18</f>
        <v>190.17609430220412</v>
      </c>
      <c r="G8" s="478">
        <f>industrie!G18</f>
        <v>0</v>
      </c>
      <c r="H8" s="478">
        <f>industrie!H18</f>
        <v>0</v>
      </c>
      <c r="I8" s="478">
        <f>industrie!I18</f>
        <v>0</v>
      </c>
      <c r="J8" s="478">
        <f>industrie!J18</f>
        <v>0.38601384498418767</v>
      </c>
      <c r="K8" s="478">
        <f>industrie!K18</f>
        <v>0</v>
      </c>
      <c r="L8" s="478">
        <f>industrie!L18</f>
        <v>0</v>
      </c>
      <c r="M8" s="478">
        <f>industrie!M18</f>
        <v>0</v>
      </c>
      <c r="N8" s="478">
        <f>industrie!N18</f>
        <v>92.849741707765645</v>
      </c>
      <c r="O8" s="478">
        <f>industrie!O18</f>
        <v>0</v>
      </c>
      <c r="P8" s="479">
        <f>industrie!P18</f>
        <v>0</v>
      </c>
      <c r="Q8" s="477">
        <f t="shared" si="0"/>
        <v>1726.1079497000592</v>
      </c>
    </row>
    <row r="9" spans="1:17" s="483" customFormat="1">
      <c r="A9" s="481" t="s">
        <v>561</v>
      </c>
      <c r="B9" s="482">
        <f>transport!B14</f>
        <v>43.57673308830352</v>
      </c>
      <c r="C9" s="482"/>
      <c r="D9" s="482">
        <f>transport!D14</f>
        <v>149.61603325181073</v>
      </c>
      <c r="E9" s="482">
        <f>transport!E14</f>
        <v>232.77223264053436</v>
      </c>
      <c r="F9" s="482"/>
      <c r="G9" s="482">
        <f>transport!G14</f>
        <v>77343.761807098315</v>
      </c>
      <c r="H9" s="482">
        <f>transport!H14</f>
        <v>17362.767052183564</v>
      </c>
      <c r="I9" s="482"/>
      <c r="J9" s="482"/>
      <c r="K9" s="482"/>
      <c r="L9" s="482"/>
      <c r="M9" s="482">
        <f>transport!M14</f>
        <v>5034.170013055289</v>
      </c>
      <c r="N9" s="482"/>
      <c r="O9" s="482"/>
      <c r="P9" s="482"/>
      <c r="Q9" s="481">
        <f>SUM(B9:P9)</f>
        <v>100166.66387131783</v>
      </c>
    </row>
    <row r="10" spans="1:17">
      <c r="A10" s="477" t="s">
        <v>551</v>
      </c>
      <c r="B10" s="478">
        <f>transport!B54</f>
        <v>0</v>
      </c>
      <c r="C10" s="478"/>
      <c r="D10" s="478">
        <f>transport!D54</f>
        <v>0</v>
      </c>
      <c r="E10" s="478"/>
      <c r="F10" s="478"/>
      <c r="G10" s="478">
        <f>transport!G54</f>
        <v>558.66206952882283</v>
      </c>
      <c r="H10" s="478"/>
      <c r="I10" s="478"/>
      <c r="J10" s="478"/>
      <c r="K10" s="478"/>
      <c r="L10" s="478"/>
      <c r="M10" s="478">
        <f>transport!M54</f>
        <v>31.729539292858043</v>
      </c>
      <c r="N10" s="478"/>
      <c r="O10" s="478"/>
      <c r="P10" s="479"/>
      <c r="Q10" s="477">
        <f t="shared" si="0"/>
        <v>590.39160882168085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31466.769200351006</v>
      </c>
      <c r="C14" s="488">
        <f t="shared" ref="C14:Q14" ca="1" si="1">SUM(C4:C13)</f>
        <v>0</v>
      </c>
      <c r="D14" s="488">
        <f t="shared" ca="1" si="1"/>
        <v>109250.2047972872</v>
      </c>
      <c r="E14" s="488">
        <f t="shared" si="1"/>
        <v>2517.7260287573145</v>
      </c>
      <c r="F14" s="488">
        <f t="shared" ca="1" si="1"/>
        <v>7666.4667653126207</v>
      </c>
      <c r="G14" s="488">
        <f t="shared" si="1"/>
        <v>77902.423876627145</v>
      </c>
      <c r="H14" s="488">
        <f t="shared" si="1"/>
        <v>17362.767052183564</v>
      </c>
      <c r="I14" s="488">
        <f t="shared" si="1"/>
        <v>0</v>
      </c>
      <c r="J14" s="488">
        <f t="shared" si="1"/>
        <v>13.70024338942061</v>
      </c>
      <c r="K14" s="488">
        <f t="shared" si="1"/>
        <v>0</v>
      </c>
      <c r="L14" s="488">
        <f t="shared" ca="1" si="1"/>
        <v>0</v>
      </c>
      <c r="M14" s="488">
        <f t="shared" si="1"/>
        <v>5065.8995523481472</v>
      </c>
      <c r="N14" s="488">
        <f t="shared" ca="1" si="1"/>
        <v>3615.1249875377894</v>
      </c>
      <c r="O14" s="488">
        <f t="shared" si="1"/>
        <v>96.926666666666677</v>
      </c>
      <c r="P14" s="489">
        <f t="shared" si="1"/>
        <v>381.33333333333337</v>
      </c>
      <c r="Q14" s="489">
        <f t="shared" ca="1" si="1"/>
        <v>255339.34250379424</v>
      </c>
    </row>
    <row r="16" spans="1:17">
      <c r="A16" s="491" t="s">
        <v>556</v>
      </c>
      <c r="B16" s="841">
        <f ca="1">huishoudens!B10</f>
        <v>0.2158655367841428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4631.3195068995028</v>
      </c>
      <c r="C21" s="478">
        <f t="shared" ref="C21:C28" ca="1" si="3">C4*$C$16</f>
        <v>0</v>
      </c>
      <c r="D21" s="478">
        <f t="shared" ref="D21:D30" si="4">D4*$D$16</f>
        <v>17560.492787961561</v>
      </c>
      <c r="E21" s="478">
        <f t="shared" ref="E21:E30" si="5">E4*$E$16</f>
        <v>481.38736224037842</v>
      </c>
      <c r="F21" s="478">
        <f t="shared" ref="F21:F28" si="6">F4*$F$16</f>
        <v>1510.3096985214243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24183.509355622864</v>
      </c>
    </row>
    <row r="22" spans="1:17">
      <c r="A22" s="477" t="s">
        <v>156</v>
      </c>
      <c r="B22" s="478">
        <f t="shared" ca="1" si="2"/>
        <v>1827.6980223761338</v>
      </c>
      <c r="C22" s="478">
        <f t="shared" ca="1" si="3"/>
        <v>0</v>
      </c>
      <c r="D22" s="478">
        <f t="shared" ca="1" si="4"/>
        <v>3753.9119955683404</v>
      </c>
      <c r="E22" s="478">
        <f t="shared" si="5"/>
        <v>21.994896110362578</v>
      </c>
      <c r="F22" s="478">
        <f t="shared" ca="1" si="6"/>
        <v>383.74959081800711</v>
      </c>
      <c r="G22" s="478">
        <f t="shared" si="7"/>
        <v>0</v>
      </c>
      <c r="H22" s="478">
        <f t="shared" si="8"/>
        <v>0</v>
      </c>
      <c r="I22" s="478">
        <f t="shared" si="9"/>
        <v>0</v>
      </c>
      <c r="J22" s="478">
        <f t="shared" si="10"/>
        <v>5.0685150591478845E-3</v>
      </c>
      <c r="K22" s="478">
        <f t="shared" si="11"/>
        <v>0</v>
      </c>
      <c r="L22" s="478">
        <f t="shared" ca="1" si="12"/>
        <v>0</v>
      </c>
      <c r="M22" s="478">
        <f t="shared" si="13"/>
        <v>0</v>
      </c>
      <c r="N22" s="478">
        <f t="shared" ca="1" si="14"/>
        <v>0</v>
      </c>
      <c r="O22" s="478">
        <f t="shared" si="15"/>
        <v>0</v>
      </c>
      <c r="P22" s="479">
        <f t="shared" si="16"/>
        <v>0</v>
      </c>
      <c r="Q22" s="477">
        <f t="shared" ref="Q22:Q30" ca="1" si="17">SUM(B22:P22)</f>
        <v>5987.3595733879038</v>
      </c>
    </row>
    <row r="23" spans="1:17">
      <c r="A23" s="477" t="s">
        <v>194</v>
      </c>
      <c r="B23" s="478">
        <f t="shared" ca="1" si="2"/>
        <v>214.32166646506261</v>
      </c>
      <c r="C23" s="478"/>
      <c r="D23" s="478"/>
      <c r="E23" s="478"/>
      <c r="F23" s="478"/>
      <c r="G23" s="478"/>
      <c r="H23" s="478"/>
      <c r="I23" s="478"/>
      <c r="J23" s="478"/>
      <c r="K23" s="478"/>
      <c r="L23" s="478"/>
      <c r="M23" s="478"/>
      <c r="N23" s="478"/>
      <c r="O23" s="478"/>
      <c r="P23" s="479"/>
      <c r="Q23" s="477">
        <f t="shared" ca="1" si="17"/>
        <v>214.32166646506261</v>
      </c>
    </row>
    <row r="24" spans="1:17">
      <c r="A24" s="477" t="s">
        <v>112</v>
      </c>
      <c r="B24" s="478">
        <f t="shared" ca="1" si="2"/>
        <v>19.816550343225305</v>
      </c>
      <c r="C24" s="478">
        <f t="shared" ca="1" si="3"/>
        <v>0</v>
      </c>
      <c r="D24" s="478">
        <f t="shared" si="4"/>
        <v>529.80728513137205</v>
      </c>
      <c r="E24" s="478">
        <f t="shared" si="5"/>
        <v>0.61251300994587499</v>
      </c>
      <c r="F24" s="478">
        <f t="shared" si="6"/>
        <v>102.11031982034974</v>
      </c>
      <c r="G24" s="478">
        <f t="shared" si="7"/>
        <v>0</v>
      </c>
      <c r="H24" s="478">
        <f t="shared" si="8"/>
        <v>0</v>
      </c>
      <c r="I24" s="478">
        <f t="shared" si="9"/>
        <v>0</v>
      </c>
      <c r="J24" s="478">
        <f t="shared" si="10"/>
        <v>4.7081687436713455</v>
      </c>
      <c r="K24" s="478">
        <f t="shared" si="11"/>
        <v>0</v>
      </c>
      <c r="L24" s="478">
        <f t="shared" si="12"/>
        <v>0</v>
      </c>
      <c r="M24" s="478">
        <f t="shared" si="13"/>
        <v>0</v>
      </c>
      <c r="N24" s="478">
        <f t="shared" si="14"/>
        <v>0</v>
      </c>
      <c r="O24" s="478">
        <f t="shared" si="15"/>
        <v>0</v>
      </c>
      <c r="P24" s="479">
        <f t="shared" si="16"/>
        <v>0</v>
      </c>
      <c r="Q24" s="477">
        <f t="shared" ca="1" si="17"/>
        <v>657.05483704856442</v>
      </c>
    </row>
    <row r="25" spans="1:17">
      <c r="A25" s="477" t="s">
        <v>635</v>
      </c>
      <c r="B25" s="478">
        <f t="shared" ca="1" si="2"/>
        <v>90.028563333172315</v>
      </c>
      <c r="C25" s="478">
        <f t="shared" ca="1" si="3"/>
        <v>0</v>
      </c>
      <c r="D25" s="478">
        <f t="shared" si="4"/>
        <v>194.10686167387973</v>
      </c>
      <c r="E25" s="478">
        <f t="shared" si="5"/>
        <v>14.68974035782229</v>
      </c>
      <c r="F25" s="478">
        <f t="shared" si="6"/>
        <v>50.777017178688503</v>
      </c>
      <c r="G25" s="478">
        <f t="shared" si="7"/>
        <v>0</v>
      </c>
      <c r="H25" s="478">
        <f t="shared" si="8"/>
        <v>0</v>
      </c>
      <c r="I25" s="478">
        <f t="shared" si="9"/>
        <v>0</v>
      </c>
      <c r="J25" s="478">
        <f t="shared" si="10"/>
        <v>0.13664890112440242</v>
      </c>
      <c r="K25" s="478">
        <f t="shared" si="11"/>
        <v>0</v>
      </c>
      <c r="L25" s="478">
        <f t="shared" si="12"/>
        <v>0</v>
      </c>
      <c r="M25" s="478">
        <f t="shared" si="13"/>
        <v>0</v>
      </c>
      <c r="N25" s="478">
        <f t="shared" si="14"/>
        <v>0</v>
      </c>
      <c r="O25" s="478">
        <f t="shared" si="15"/>
        <v>0</v>
      </c>
      <c r="P25" s="479">
        <f t="shared" si="16"/>
        <v>0</v>
      </c>
      <c r="Q25" s="477">
        <f t="shared" ca="1" si="17"/>
        <v>349.73883144468721</v>
      </c>
    </row>
    <row r="26" spans="1:17" s="483" customFormat="1">
      <c r="A26" s="481" t="s">
        <v>561</v>
      </c>
      <c r="B26" s="835">
        <f t="shared" ca="1" si="2"/>
        <v>9.406714879405957</v>
      </c>
      <c r="C26" s="482"/>
      <c r="D26" s="482">
        <f t="shared" si="4"/>
        <v>30.222438716865771</v>
      </c>
      <c r="E26" s="482">
        <f t="shared" si="5"/>
        <v>52.839296809401297</v>
      </c>
      <c r="F26" s="482"/>
      <c r="G26" s="482">
        <f t="shared" si="7"/>
        <v>20650.78440249525</v>
      </c>
      <c r="H26" s="482">
        <f t="shared" si="8"/>
        <v>4323.3289959937074</v>
      </c>
      <c r="I26" s="482"/>
      <c r="J26" s="482"/>
      <c r="K26" s="482"/>
      <c r="L26" s="482"/>
      <c r="M26" s="482">
        <f t="shared" si="13"/>
        <v>0</v>
      </c>
      <c r="N26" s="482"/>
      <c r="O26" s="482"/>
      <c r="P26" s="493"/>
      <c r="Q26" s="481">
        <f t="shared" ca="1" si="17"/>
        <v>25066.581848894628</v>
      </c>
    </row>
    <row r="27" spans="1:17">
      <c r="A27" s="477" t="s">
        <v>551</v>
      </c>
      <c r="B27" s="478">
        <f t="shared" ca="1" si="2"/>
        <v>0</v>
      </c>
      <c r="C27" s="478"/>
      <c r="D27" s="482">
        <f t="shared" si="4"/>
        <v>0</v>
      </c>
      <c r="E27" s="478"/>
      <c r="F27" s="478"/>
      <c r="G27" s="478">
        <f t="shared" si="7"/>
        <v>149.16277256419571</v>
      </c>
      <c r="H27" s="478"/>
      <c r="I27" s="478"/>
      <c r="J27" s="478"/>
      <c r="K27" s="478"/>
      <c r="L27" s="478"/>
      <c r="M27" s="478">
        <f t="shared" si="13"/>
        <v>0</v>
      </c>
      <c r="N27" s="478"/>
      <c r="O27" s="478"/>
      <c r="P27" s="479"/>
      <c r="Q27" s="477">
        <f t="shared" ca="1" si="17"/>
        <v>149.16277256419571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6792.5910242965028</v>
      </c>
      <c r="C31" s="488">
        <f t="shared" ca="1" si="18"/>
        <v>0</v>
      </c>
      <c r="D31" s="488">
        <f t="shared" ca="1" si="18"/>
        <v>22068.541369052022</v>
      </c>
      <c r="E31" s="488">
        <f t="shared" si="18"/>
        <v>571.52380852791043</v>
      </c>
      <c r="F31" s="488">
        <f t="shared" ca="1" si="18"/>
        <v>2046.9466263384697</v>
      </c>
      <c r="G31" s="488">
        <f t="shared" si="18"/>
        <v>20799.947175059446</v>
      </c>
      <c r="H31" s="488">
        <f t="shared" si="18"/>
        <v>4323.3289959937074</v>
      </c>
      <c r="I31" s="488">
        <f t="shared" si="18"/>
        <v>0</v>
      </c>
      <c r="J31" s="488">
        <f t="shared" si="18"/>
        <v>4.8498861598548961</v>
      </c>
      <c r="K31" s="488">
        <f t="shared" si="18"/>
        <v>0</v>
      </c>
      <c r="L31" s="488">
        <f t="shared" ca="1" si="18"/>
        <v>0</v>
      </c>
      <c r="M31" s="488">
        <f t="shared" si="18"/>
        <v>0</v>
      </c>
      <c r="N31" s="488">
        <f t="shared" ca="1" si="18"/>
        <v>0</v>
      </c>
      <c r="O31" s="488">
        <f t="shared" si="18"/>
        <v>0</v>
      </c>
      <c r="P31" s="489">
        <f t="shared" si="18"/>
        <v>0</v>
      </c>
      <c r="Q31" s="489">
        <f t="shared" ca="1" si="18"/>
        <v>56607.728885427903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0.2158655367841428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0.2158655367841428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0.2158655367841428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2019-01-01T21:18:30Z</dcterms:modified>
</cp:coreProperties>
</file>