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J15"/>
  <c r="C13" i="15"/>
  <c r="C16" s="1"/>
  <c r="D10" i="14" s="1"/>
  <c r="L6" i="17"/>
  <c r="L5" s="1"/>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J24"/>
  <c r="D28"/>
  <c r="D30"/>
  <c r="H25"/>
  <c r="H24"/>
  <c r="G22" i="14"/>
  <c r="P22" i="16"/>
  <c r="Q39" i="14" s="1"/>
  <c r="G11"/>
  <c r="J12" i="17"/>
  <c r="K48" i="14" s="1"/>
  <c r="Q13"/>
  <c r="B35" i="13"/>
  <c r="B47" s="1"/>
  <c r="J15" i="14"/>
  <c r="J23" s="1"/>
  <c r="P8" i="48"/>
  <c r="P25" s="1"/>
  <c r="D18" i="16"/>
  <c r="E13" i="14" s="1"/>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L53" i="14"/>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67" i="14" l="1"/>
  <c r="C67" s="1"/>
  <c r="C69" s="1"/>
  <c r="J5" i="48"/>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J69" i="14" l="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<sst xmlns="http://schemas.openxmlformats.org/spreadsheetml/2006/main" count="2099" uniqueCount="844">
  <si>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</si>
  <si>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</si>
  <si>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</si>
  <si>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</si>
  <si>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</si>
  <si>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</si>
  <si>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</si>
  <si>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</si>
  <si>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</si>
  <si>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</si>
  <si>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</si>
  <si>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</si>
  <si>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</si>
  <si>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</si>
  <si>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</si>
  <si>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</si>
  <si>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</si>
  <si>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</si>
  <si>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</si>
  <si>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</si>
  <si>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</si>
  <si>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</si>
  <si>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</si>
  <si>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</si>
  <si>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</si>
  <si>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</si>
  <si>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</si>
  <si>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</si>
  <si>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</si>
  <si>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</si>
  <si>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</si>
  <si>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</si>
  <si>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</si>
  <si>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</si>
  <si>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</si>
  <si>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</si>
  <si>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</si>
  <si>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</si>
  <si>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</si>
  <si>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</si>
  <si>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</si>
  <si>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</si>
  <si>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</si>
  <si>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</si>
  <si>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</si>
  <si>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</si>
  <si>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</si>
  <si>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</si>
  <si>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</si>
  <si>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</si>
  <si>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</si>
  <si>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</si>
  <si>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</si>
  <si>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</si>
  <si>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</si>
  <si>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</si>
  <si>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</si>
  <si>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</si>
  <si>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</si>
  <si>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</si>
  <si>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</si>
  <si>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</si>
  <si>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</si>
  <si>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</si>
  <si>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</si>
  <si>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</si>
  <si>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</si>
  <si>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</si>
  <si>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</si>
  <si>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</si>
  <si>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</si>
  <si>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</si>
  <si>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</si>
  <si>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</si>
  <si>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</si>
  <si>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</si>
  <si>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</si>
  <si>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</si>
  <si>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</si>
  <si>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</si>
  <si>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</si>
  <si>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</si>
  <si>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</si>
  <si>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</si>
  <si>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</si>
  <si>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</si>
  <si>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</si>
  <si>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</si>
  <si>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</si>
  <si>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</si>
  <si>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</si>
  <si>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</si>
  <si>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</si>
  <si>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</si>
  <si>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</si>
  <si>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</si>
  <si>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</si>
  <si>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</si>
  <si>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</si>
  <si>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</si>
  <si>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</si>
  <si>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</si>
  <si>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</si>
  <si>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</si>
  <si>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</si>
  <si>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</si>
  <si>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</si>
  <si>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</si>
  <si>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</si>
  <si>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</si>
  <si>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</si>
  <si>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</si>
  <si>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</si>
  <si>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</si>
  <si>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</si>
  <si>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</si>
  <si>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</si>
  <si>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</si>
  <si>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</si>
  <si>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</si>
  <si>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</si>
  <si>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</si>
  <si>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</si>
  <si>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</si>
  <si>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</si>
  <si>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</si>
  <si>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</si>
  <si>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</si>
  <si>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</si>
  <si>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</si>
  <si>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</si>
  <si>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</si>
  <si>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</si>
  <si>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</si>
  <si>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</si>
  <si>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</si>
  <si>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</si>
  <si>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</si>
  <si>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</si>
  <si>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</si>
  <si>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</si>
  <si>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</si>
  <si>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</si>
  <si>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</si>
  <si>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</si>
  <si>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</si>
  <si>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</si>
  <si>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</si>
  <si>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</si>
  <si>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</si>
  <si>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</si>
  <si>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</si>
  <si>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</si>
  <si>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</si>
  <si>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</si>
  <si>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</si>
  <si>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</si>
  <si>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</si>
  <si>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</si>
  <si>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</si>
  <si>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</si>
  <si>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</si>
  <si>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</si>
  <si>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</si>
  <si>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</si>
  <si>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</si>
  <si>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</si>
  <si>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</si>
  <si>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</si>
  <si>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</si>
  <si>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</si>
  <si>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</si>
  <si>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</si>
  <si>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</si>
  <si>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</si>
  <si>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</si>
  <si>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</si>
  <si>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</si>
  <si>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</si>
  <si>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</si>
  <si>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</si>
  <si>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</si>
  <si>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</si>
  <si>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</si>
  <si>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</si>
  <si>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</si>
  <si>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</si>
  <si>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</si>
  <si>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</si>
  <si>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</si>
  <si>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</si>
  <si>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</si>
  <si>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</si>
  <si>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</si>
  <si>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</si>
  <si>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</si>
  <si>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</si>
  <si>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</si>
  <si>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</si>
  <si>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</si>
  <si>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</si>
  <si>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</si>
  <si>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</si>
  <si>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</si>
  <si>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</si>
  <si>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</si>
  <si>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</si>
  <si>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</si>
  <si>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</si>
  <si>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</si>
  <si>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</si>
  <si>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</si>
  <si>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</si>
  <si>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</si>
  <si>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</si>
  <si>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</si>
  <si>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</si>
  <si>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</si>
  <si>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</si>
  <si>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</si>
  <si>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</si>
  <si>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</si>
  <si>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</si>
  <si>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</si>
  <si>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</si>
  <si>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</si>
  <si>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</si>
  <si>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</si>
  <si>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</si>
  <si>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</si>
  <si>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</si>
  <si>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</si>
  <si>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</si>
  <si>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</si>
  <si>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</si>
  <si>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</si>
  <si>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</si>
  <si>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</si>
  <si>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</si>
  <si>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</si>
  <si>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</si>
  <si>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</si>
  <si>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</si>
  <si>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</si>
  <si>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</si>
  <si>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</si>
  <si>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</si>
  <si>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</si>
  <si>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</si>
  <si>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</si>
  <si>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</si>
  <si>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</si>
  <si>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</si>
  <si>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</si>
  <si>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</si>
  <si>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</si>
  <si>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</si>
  <si>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</si>
  <si>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</si>
  <si>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</si>
  <si>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</si>
  <si>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</si>
  <si>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</si>
  <si>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</si>
  <si>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</si>
  <si>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</si>
  <si>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</si>
  <si>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</si>
  <si>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</si>
  <si>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</si>
  <si>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</si>
  <si>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</si>
  <si>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</si>
  <si>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</si>
  <si>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</si>
  <si>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</si>
  <si>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</si>
  <si>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</si>
  <si>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</si>
  <si>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</si>
  <si>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</si>
  <si>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</si>
  <si>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</si>
  <si>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</si>
  <si>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</si>
  <si>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</si>
  <si>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</si>
  <si>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</si>
  <si>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</si>
  <si>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</si>
  <si>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</si>
  <si>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</si>
  <si>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</si>
  <si>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</si>
  <si>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</si>
  <si>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</si>
  <si>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</si>
  <si>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</si>
  <si>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</si>
  <si>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</si>
  <si>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</si>
  <si>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</si>
  <si>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</si>
  <si>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</si>
  <si>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</si>
  <si>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</si>
  <si>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</si>
  <si>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</si>
  <si>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</si>
  <si>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</si>
  <si>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</si>
  <si>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</si>
  <si>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</si>
  <si>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</si>
  <si>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</si>
  <si>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</si>
  <si>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</si>
  <si>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</si>
  <si>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</si>
  <si>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</si>
  <si>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</si>
  <si>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</si>
  <si>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</si>
  <si>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</si>
  <si>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</si>
  <si>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</si>
  <si>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</si>
  <si>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</si>
  <si>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</si>
  <si>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</si>
  <si>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</si>
  <si>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</si>
  <si>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</si>
  <si>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</si>
  <si>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</si>
  <si>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</si>
  <si>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</si>
  <si>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</si>
  <si>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</si>
  <si>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</si>
  <si>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</si>
  <si>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</si>
  <si>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</si>
  <si>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</si>
  <si>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</si>
  <si>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</si>
  <si>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</si>
  <si>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</si>
  <si>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</si>
  <si>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</si>
  <si>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</si>
  <si>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</si>
  <si>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</si>
  <si>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</si>
  <si>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</si>
  <si>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</si>
  <si>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</si>
  <si>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</si>
  <si>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</si>
  <si>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</si>
  <si>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</si>
  <si>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</si>
  <si>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</si>
  <si>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</si>
  <si>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</si>
  <si>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</si>
  <si>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</si>
  <si>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</si>
  <si>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</si>
  <si>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</si>
  <si>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</si>
  <si>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</si>
  <si>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</si>
  <si>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</si>
  <si>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</si>
  <si>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</si>
  <si>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</si>
  <si>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</si>
  <si>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</si>
  <si>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</si>
  <si>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</si>
  <si>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</si>
  <si>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</si>
  <si>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</si>
  <si>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</si>
  <si>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</si>
  <si>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</si>
  <si>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</si>
  <si>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</si>
  <si>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</si>
  <si>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</si>
  <si>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</si>
  <si>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</si>
  <si>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</si>
  <si>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</si>
  <si>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</si>
  <si>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</si>
  <si>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</si>
  <si>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</si>
  <si>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</si>
  <si>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</si>
  <si>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</si>
  <si>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</si>
  <si>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</si>
  <si>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</si>
  <si>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</si>
  <si>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</si>
  <si>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</si>
  <si>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</si>
  <si>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</si>
  <si>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</si>
  <si>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</si>
  <si>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</si>
  <si>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</si>
  <si>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</si>
  <si>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</si>
  <si>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</si>
  <si>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</si>
  <si>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</si>
  <si>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</si>
  <si>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</si>
  <si>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</si>
  <si>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</si>
  <si>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</si>
  <si>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</si>
  <si>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</si>
  <si>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</si>
  <si>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</si>
  <si>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</si>
  <si>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</si>
  <si>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</si>
  <si>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</si>
  <si>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</si>
  <si>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</si>
  <si>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</si>
  <si>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</si>
  <si>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</si>
  <si>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</si>
  <si>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</si>
  <si>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</si>
  <si>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</si>
  <si>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</si>
  <si>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</si>
  <si>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</si>
  <si>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</si>
  <si>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</si>
  <si>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</si>
  <si>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</si>
  <si>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</si>
  <si>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</si>
  <si>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</si>
  <si>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</si>
  <si>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</si>
  <si>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</si>
  <si>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</si>
  <si>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</si>
  <si>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</si>
  <si>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</si>
  <si>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</si>
  <si>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</si>
  <si>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</si>
  <si>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</si>
  <si>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</si>
  <si>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</si>
  <si>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</si>
  <si>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</si>
  <si>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</si>
  <si>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</si>
  <si>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</si>
  <si>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</si>
  <si>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</si>
  <si>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</si>
  <si>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</si>
  <si>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</si>
  <si>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</si>
  <si>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</si>
  <si>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</si>
  <si>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</si>
  <si>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</si>
  <si>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</si>
  <si>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</si>
  <si>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</si>
  <si>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</si>
  <si>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</si>
  <si>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</si>
  <si>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</si>
  <si>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</si>
  <si>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</si>
  <si>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</si>
  <si>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</si>
  <si>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</si>
  <si>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</si>
  <si>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</si>
  <si>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</si>
  <si>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</si>
  <si>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</si>
  <si>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</si>
  <si>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</si>
  <si>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</si>
  <si>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</si>
  <si>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</si>
  <si>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</si>
  <si>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</si>
  <si>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</si>
  <si>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</si>
  <si>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</si>
  <si>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</si>
  <si>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</si>
  <si>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</si>
  <si>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</si>
  <si>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</si>
  <si>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</si>
  <si>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</si>
  <si>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</si>
  <si>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</si>
  <si>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</si>
  <si>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</si>
  <si>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</si>
  <si>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</si>
  <si>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</si>
  <si>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</si>
  <si>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</si>
  <si>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</si>
  <si>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</si>
  <si>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</si>
  <si>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</si>
  <si>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</si>
  <si>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</si>
  <si>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</si>
  <si>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</si>
  <si>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</si>
  <si>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</si>
  <si>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</si>
  <si>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</si>
  <si>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</si>
  <si>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</si>
  <si>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</si>
  <si>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</si>
  <si>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</si>
  <si>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</si>
  <si>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</si>
  <si>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</si>
  <si>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</si>
  <si>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</si>
  <si>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</si>
  <si>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</si>
  <si>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</si>
  <si>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</si>
  <si>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</si>
  <si>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</si>
  <si>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</si>
  <si>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</si>
  <si>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</si>
  <si>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</si>
  <si>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</si>
  <si>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</si>
  <si>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</si>
  <si>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</si>
  <si>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</si>
  <si>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</si>
  <si>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</si>
  <si>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</si>
  <si>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</si>
  <si>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</si>
  <si>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</si>
  <si>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</si>
  <si>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</si>
  <si>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</si>
  <si>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</si>
  <si>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</si>
  <si>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</si>
  <si>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</si>
  <si>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</si>
  <si>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</si>
  <si>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</si>
  <si>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</si>
  <si>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</si>
  <si>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</si>
  <si>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</si>
  <si>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</si>
  <si>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</si>
  <si>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</si>
  <si>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</si>
  <si>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</si>
  <si>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</si>
  <si>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</si>
  <si>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</si>
  <si>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</si>
  <si>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</si>
  <si>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</si>
  <si>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</si>
  <si>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</si>
  <si>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</si>
  <si>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</si>
  <si>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</si>
  <si>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</si>
  <si>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</si>
  <si>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</si>
  <si>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</si>
  <si>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</si>
  <si>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</si>
  <si>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</si>
  <si>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</si>
  <si>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</si>
  <si>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</si>
  <si>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</si>
  <si>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</si>
  <si>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</si>
  <si>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</si>
  <si>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</si>
  <si>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</si>
  <si>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</si>
  <si>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</si>
  <si>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</si>
  <si>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</si>
  <si>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</si>
  <si>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</si>
  <si>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</si>
  <si>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</si>
  <si>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</si>
  <si>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</si>
  <si>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</si>
  <si>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</si>
  <si>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</si>
  <si>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</si>
  <si>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</si>
  <si>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</si>
  <si>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</si>
  <si>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</si>
  <si>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</si>
  <si>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</si>
  <si>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</si>
  <si>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</si>
  <si>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</si>
  <si>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</si>
  <si>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</si>
  <si>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</si>
  <si>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</si>
  <si>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</si>
  <si>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</si>
  <si>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</si>
  <si>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</si>
  <si>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</si>
  <si>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</si>
  <si>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</si>
  <si>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</si>
  <si>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</si>
  <si>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</si>
  <si>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</si>
  <si>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</si>
  <si>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</si>
  <si>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</si>
  <si>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</si>
  <si>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</si>
  <si>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</si>
  <si>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</si>
  <si>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</si>
  <si>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</si>
  <si>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</si>
  <si>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</si>
  <si>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</si>
  <si>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</si>
  <si>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</si>
  <si>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</si>
  <si>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</si>
  <si>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</si>
  <si>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</si>
  <si>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</si>
  <si>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</si>
  <si>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</si>
  <si>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</si>
  <si>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</si>
  <si>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</si>
  <si>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</si>
  <si>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</si>
  <si>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</si>
  <si>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</si>
  <si>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</si>
  <si>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</si>
  <si>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</si>
  <si>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</si>
  <si>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</si>
  <si>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</si>
  <si>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</si>
  <si>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</si>
  <si>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</si>
  <si>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</si>
  <si>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</si>
  <si>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</si>
  <si>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</si>
  <si>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</si>
  <si>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</si>
  <si>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</si>
  <si>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</si>
  <si>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</si>
  <si>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</si>
  <si>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</si>
  <si>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</si>
  <si>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</si>
  <si>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</si>
  <si>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</si>
  <si>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</si>
  <si>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</si>
  <si>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</si>
  <si>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</si>
  <si>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</si>
  <si>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</si>
  <si>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</si>
  <si>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</si>
  <si>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</si>
  <si>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</si>
  <si>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</si>
  <si>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</si>
  <si>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</si>
  <si>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</si>
  <si>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</si>
  <si>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</si>
  <si>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</si>
  <si>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</si>
  <si>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</si>
  <si>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</si>
  <si>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</si>
  <si>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</si>
  <si>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</si>
  <si>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</si>
  <si>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</si>
  <si>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</si>
  <si>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</si>
  <si>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</si>
  <si>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</si>
  <si>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</si>
  <si>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</si>
  <si>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</si>
  <si>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</si>
  <si>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</si>
  <si>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</si>
  <si>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</si>
  <si>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</si>
  <si>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</si>
  <si>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</si>
  <si>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</si>
  <si>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</si>
  <si>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</si>
  <si>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</si>
  <si>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</si>
  <si>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</si>
  <si>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</si>
  <si>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</si>
  <si>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</si>
  <si>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</si>
  <si>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</si>
  <si>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</si>
  <si>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</si>
  <si>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</si>
  <si>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</si>
  <si>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</si>
  <si>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</si>
  <si>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</si>
  <si>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</si>
  <si>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</si>
  <si>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</si>
  <si>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</si>
  <si>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</si>
  <si>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</si>
  <si>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</si>
  <si>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</si>
  <si>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</si>
  <si>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</si>
  <si>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</si>
  <si>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</si>
  <si>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</si>
  <si>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</si>
  <si>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</si>
  <si>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</si>
  <si>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</si>
  <si>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</si>
  <si>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</si>
  <si>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</si>
  <si>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</si>
  <si>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</si>
  <si>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</si>
  <si>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</si>
  <si>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</si>
  <si>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</si>
  <si>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</si>
  <si>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</si>
  <si>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</si>
  <si>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</si>
  <si>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</si>
  <si>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</si>
  <si>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</si>
  <si>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</si>
  <si>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</si>
  <si>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</si>
  <si>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</si>
  <si>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</si>
  <si>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</si>
  <si>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</si>
  <si>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</si>
  <si>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</si>
  <si>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</si>
  <si>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</si>
  <si>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</si>
  <si>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</si>
  <si>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</si>
  <si>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</si>
  <si>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</si>
  <si>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</si>
  <si>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</si>
  <si>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</si>
  <si>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</si>
  <si>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</si>
  <si>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</si>
  <si>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</si>
  <si>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</si>
  <si>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</si>
  <si>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</si>
  <si>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</si>
  <si>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</si>
  <si>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</si>
  <si>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</si>
  <si>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</si>
  <si>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</si>
  <si>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</si>
  <si>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</si>
  <si>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</si>
  <si>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</si>
  <si>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</si>
  <si>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</si>
  <si>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</si>
  <si>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</si>
  <si>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</si>
  <si>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</si>
  <si>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</si>
  <si>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</si>
  <si>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</si>
  <si>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23100</t>
  </si>
  <si>
    <t>LINKEBEEK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</si>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</sst>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45524.351607747813</c:v>
                </c:pt>
                <c:pt idx="1">
                  <c:v>15967.837047557572</c:v>
                </c:pt>
                <c:pt idx="2">
                  <c:v>303.73500000000001</c:v>
                </c:pt>
                <c:pt idx="3">
                  <c:v>1235.8130516177011</c:v>
                </c:pt>
                <c:pt idx="4">
                  <c:v>1233.3158802375556</c:v>
                </c:pt>
                <c:pt idx="5">
                  <c:v>16397.63540336939</c:v>
                </c:pt>
                <c:pt idx="6">
                  <c:v>272.06334702589396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45524.351607747813</c:v>
                </c:pt>
                <c:pt idx="1">
                  <c:v>15967.837047557572</c:v>
                </c:pt>
                <c:pt idx="2">
                  <c:v>303.73500000000001</c:v>
                </c:pt>
                <c:pt idx="3">
                  <c:v>1235.8130516177011</c:v>
                </c:pt>
                <c:pt idx="4">
                  <c:v>1233.3158802375556</c:v>
                </c:pt>
                <c:pt idx="5">
                  <c:v>16397.63540336939</c:v>
                </c:pt>
                <c:pt idx="6">
                  <c:v>272.06334702589396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9144.1256809797196</c:v>
                </c:pt>
                <c:pt idx="1">
                  <c:v>3302.038028289488</c:v>
                </c:pt>
                <c:pt idx="2">
                  <c:v>66.291720842238334</c:v>
                </c:pt>
                <c:pt idx="3">
                  <c:v>273.15881496337198</c:v>
                </c:pt>
                <c:pt idx="4">
                  <c:v>245.57880139165258</c:v>
                </c:pt>
                <c:pt idx="5">
                  <c:v>4093.0547229544186</c:v>
                </c:pt>
                <c:pt idx="6">
                  <c:v>68.736957892188443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9144.1256809797196</c:v>
                </c:pt>
                <c:pt idx="1">
                  <c:v>3302.038028289488</c:v>
                </c:pt>
                <c:pt idx="2">
                  <c:v>66.291720842238334</c:v>
                </c:pt>
                <c:pt idx="3">
                  <c:v>273.15881496337198</c:v>
                </c:pt>
                <c:pt idx="4">
                  <c:v>245.57880139165258</c:v>
                </c:pt>
                <c:pt idx="5">
                  <c:v>4093.0547229544186</c:v>
                </c:pt>
                <c:pt idx="6">
                  <c:v>68.736957892188443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1947</v>
      </c>
      <c r="C9" s="342">
        <v>1941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144.01</v>
      </c>
    </row>
    <row r="15" spans="1:6">
      <c r="A15" s="348" t="s">
        <v>184</v>
      </c>
      <c r="B15" s="334">
        <v>0</v>
      </c>
    </row>
    <row r="16" spans="1:6">
      <c r="A16" s="348" t="s">
        <v>6</v>
      </c>
      <c r="B16" s="334">
        <v>0</v>
      </c>
    </row>
    <row r="17" spans="1:6">
      <c r="A17" s="348" t="s">
        <v>7</v>
      </c>
      <c r="B17" s="334">
        <v>13</v>
      </c>
    </row>
    <row r="18" spans="1:6">
      <c r="A18" s="348" t="s">
        <v>8</v>
      </c>
      <c r="B18" s="334">
        <v>13</v>
      </c>
    </row>
    <row r="19" spans="1:6">
      <c r="A19" s="348" t="s">
        <v>9</v>
      </c>
      <c r="B19" s="334">
        <v>16</v>
      </c>
    </row>
    <row r="20" spans="1:6">
      <c r="A20" s="348" t="s">
        <v>10</v>
      </c>
      <c r="B20" s="334">
        <v>10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4990</v>
      </c>
    </row>
    <row r="39" spans="1:6">
      <c r="A39" s="348" t="s">
        <v>30</v>
      </c>
      <c r="B39" s="348" t="s">
        <v>31</v>
      </c>
      <c r="C39" s="334">
        <v>1560</v>
      </c>
      <c r="D39" s="334">
        <v>35338788.591420598</v>
      </c>
      <c r="E39" s="334">
        <v>1905</v>
      </c>
      <c r="F39" s="334">
        <v>7052995.8005280001</v>
      </c>
    </row>
    <row r="40" spans="1:6">
      <c r="A40" s="348" t="s">
        <v>30</v>
      </c>
      <c r="B40" s="348" t="s">
        <v>29</v>
      </c>
      <c r="C40" s="334">
        <v>0</v>
      </c>
      <c r="D40" s="334">
        <v>0</v>
      </c>
      <c r="E40" s="334">
        <v>0</v>
      </c>
      <c r="F40" s="334">
        <v>0</v>
      </c>
    </row>
    <row r="41" spans="1:6">
      <c r="A41" s="348" t="s">
        <v>32</v>
      </c>
      <c r="B41" s="348" t="s">
        <v>33</v>
      </c>
      <c r="C41" s="334">
        <v>0</v>
      </c>
      <c r="D41" s="334">
        <v>0</v>
      </c>
      <c r="E41" s="334">
        <v>10</v>
      </c>
      <c r="F41" s="334">
        <v>62076.415278926099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726629.68957121798</v>
      </c>
      <c r="E48" s="334">
        <v>20</v>
      </c>
      <c r="F48" s="334">
        <v>288471.85654940997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65086.4809321008</v>
      </c>
      <c r="E52" s="334">
        <v>2</v>
      </c>
      <c r="F52" s="334">
        <v>75935.223418884401</v>
      </c>
    </row>
    <row r="53" spans="1:6">
      <c r="A53" s="348" t="s">
        <v>44</v>
      </c>
      <c r="B53" s="348" t="s">
        <v>45</v>
      </c>
      <c r="C53" s="334">
        <v>40</v>
      </c>
      <c r="D53" s="334">
        <v>855426.20140139596</v>
      </c>
      <c r="E53" s="334">
        <v>59</v>
      </c>
      <c r="F53" s="334">
        <v>216286.77401072299</v>
      </c>
    </row>
    <row r="54" spans="1:6">
      <c r="A54" s="348" t="s">
        <v>46</v>
      </c>
      <c r="B54" s="348" t="s">
        <v>47</v>
      </c>
      <c r="C54" s="334">
        <v>0</v>
      </c>
      <c r="D54" s="334">
        <v>0</v>
      </c>
      <c r="E54" s="334">
        <v>1</v>
      </c>
      <c r="F54" s="334">
        <v>303735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303855.60073290003</v>
      </c>
      <c r="E57" s="334">
        <v>8</v>
      </c>
      <c r="F57" s="334">
        <v>59197.086171782597</v>
      </c>
    </row>
    <row r="58" spans="1:6">
      <c r="A58" s="348" t="s">
        <v>49</v>
      </c>
      <c r="B58" s="348" t="s">
        <v>51</v>
      </c>
      <c r="C58" s="334">
        <v>6</v>
      </c>
      <c r="D58" s="334">
        <v>189718.48891923099</v>
      </c>
      <c r="E58" s="334">
        <v>7</v>
      </c>
      <c r="F58" s="334">
        <v>41234.342299861397</v>
      </c>
    </row>
    <row r="59" spans="1:6">
      <c r="A59" s="348" t="s">
        <v>49</v>
      </c>
      <c r="B59" s="348" t="s">
        <v>52</v>
      </c>
      <c r="C59" s="334">
        <v>9</v>
      </c>
      <c r="D59" s="334">
        <v>171653.70872481901</v>
      </c>
      <c r="E59" s="334">
        <v>19</v>
      </c>
      <c r="F59" s="334">
        <v>238590.54777170901</v>
      </c>
    </row>
    <row r="60" spans="1:6">
      <c r="A60" s="348" t="s">
        <v>49</v>
      </c>
      <c r="B60" s="348" t="s">
        <v>53</v>
      </c>
      <c r="C60" s="334">
        <v>12</v>
      </c>
      <c r="D60" s="334">
        <v>749872.46575206204</v>
      </c>
      <c r="E60" s="334">
        <v>14</v>
      </c>
      <c r="F60" s="334">
        <v>216338.57997067799</v>
      </c>
    </row>
    <row r="61" spans="1:6">
      <c r="A61" s="348" t="s">
        <v>49</v>
      </c>
      <c r="B61" s="348" t="s">
        <v>54</v>
      </c>
      <c r="C61" s="334">
        <v>63</v>
      </c>
      <c r="D61" s="334">
        <v>2241235.8140068599</v>
      </c>
      <c r="E61" s="334">
        <v>97</v>
      </c>
      <c r="F61" s="334">
        <v>749564.98993744794</v>
      </c>
    </row>
    <row r="62" spans="1:6">
      <c r="A62" s="348" t="s">
        <v>49</v>
      </c>
      <c r="B62" s="348" t="s">
        <v>55</v>
      </c>
      <c r="C62" s="334">
        <v>0</v>
      </c>
      <c r="D62" s="334">
        <v>0</v>
      </c>
      <c r="E62" s="334">
        <v>0</v>
      </c>
      <c r="F62" s="334">
        <v>0</v>
      </c>
    </row>
    <row r="63" spans="1:6">
      <c r="A63" s="348" t="s">
        <v>49</v>
      </c>
      <c r="B63" s="348" t="s">
        <v>29</v>
      </c>
      <c r="C63" s="334">
        <v>58</v>
      </c>
      <c r="D63" s="334">
        <v>3271898.2054423802</v>
      </c>
      <c r="E63" s="334">
        <v>75</v>
      </c>
      <c r="F63" s="334">
        <v>6349075.5605331101</v>
      </c>
    </row>
    <row r="64" spans="1:6">
      <c r="A64" s="348" t="s">
        <v>56</v>
      </c>
      <c r="B64" s="348" t="s">
        <v>57</v>
      </c>
      <c r="C64" s="334">
        <v>0</v>
      </c>
      <c r="D64" s="334">
        <v>0</v>
      </c>
      <c r="E64" s="334">
        <v>0</v>
      </c>
      <c r="F64" s="334">
        <v>0</v>
      </c>
    </row>
    <row r="65" spans="1:6">
      <c r="A65" s="348" t="s">
        <v>56</v>
      </c>
      <c r="B65" s="348" t="s">
        <v>29</v>
      </c>
      <c r="C65" s="334">
        <v>3</v>
      </c>
      <c r="D65" s="334">
        <v>139638.628403646</v>
      </c>
      <c r="E65" s="334">
        <v>3</v>
      </c>
      <c r="F65" s="334">
        <v>24253.559961669202</v>
      </c>
    </row>
    <row r="66" spans="1:6">
      <c r="A66" s="348" t="s">
        <v>56</v>
      </c>
      <c r="B66" s="348" t="s">
        <v>58</v>
      </c>
      <c r="C66" s="334">
        <v>0</v>
      </c>
      <c r="D66" s="334">
        <v>0</v>
      </c>
      <c r="E66" s="334">
        <v>3</v>
      </c>
      <c r="F66" s="334">
        <v>90764.712943213206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0</v>
      </c>
      <c r="E73" s="476">
        <v>0</v>
      </c>
    </row>
    <row r="74" spans="1:6">
      <c r="A74" s="348" t="s">
        <v>64</v>
      </c>
      <c r="B74" s="348" t="s">
        <v>657</v>
      </c>
      <c r="C74" s="1272" t="s">
        <v>659</v>
      </c>
      <c r="D74" s="476">
        <v>0</v>
      </c>
      <c r="E74" s="476">
        <v>0</v>
      </c>
    </row>
    <row r="75" spans="1:6">
      <c r="A75" s="348" t="s">
        <v>65</v>
      </c>
      <c r="B75" s="348" t="s">
        <v>656</v>
      </c>
      <c r="C75" s="1272" t="s">
        <v>660</v>
      </c>
      <c r="D75" s="476">
        <v>16219757</v>
      </c>
      <c r="E75" s="476">
        <v>16433026.918762716</v>
      </c>
    </row>
    <row r="76" spans="1:6">
      <c r="A76" s="348" t="s">
        <v>65</v>
      </c>
      <c r="B76" s="348" t="s">
        <v>657</v>
      </c>
      <c r="C76" s="1272" t="s">
        <v>661</v>
      </c>
      <c r="D76" s="476">
        <v>413205.93667916796</v>
      </c>
      <c r="E76" s="476">
        <v>404338.75911264122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73788.126641664086</v>
      </c>
      <c r="C83" s="476">
        <v>73888.541363804994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164.89067911313822</v>
      </c>
    </row>
    <row r="92" spans="1:6">
      <c r="A92" s="341" t="s">
        <v>69</v>
      </c>
      <c r="B92" s="342">
        <v>28.970509017730564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15608.486987720438</v>
      </c>
      <c r="C3" s="43" t="s">
        <v>170</v>
      </c>
      <c r="D3" s="43"/>
      <c r="E3" s="154"/>
      <c r="F3" s="43"/>
      <c r="G3" s="43"/>
      <c r="H3" s="43"/>
      <c r="I3" s="43"/>
      <c r="J3" s="43"/>
      <c r="K3" s="96"/>
    </row>
    <row r="4" spans="1:11">
      <c r="A4" s="383" t="s">
        <v>171</v>
      </c>
      <c r="B4" s="49">
        <f>IF(ISERROR('SEAP template'!B69),0,'SEAP template'!B69)</f>
        <v>193.86118813086878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0.21825512648275083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303.73500000000001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303.73500000000001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0.21825512648275083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66.291720842238334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7052.9958005280005</v>
      </c>
      <c r="C5" s="17">
        <f>IF(ISERROR('Eigen informatie GS &amp; warmtenet'!B57),0,'Eigen informatie GS &amp; warmtenet'!B57)</f>
        <v>0</v>
      </c>
      <c r="D5" s="30">
        <f>(SUM(HH_hh_gas_kWh,HH_rest_gas_kWh)/1000)*0.902</f>
        <v>31875.587309461382</v>
      </c>
      <c r="E5" s="17">
        <f>B46*B57</f>
        <v>391.8199753502816</v>
      </c>
      <c r="F5" s="17">
        <f>B51*B62</f>
        <v>3898.7759682089568</v>
      </c>
      <c r="G5" s="18"/>
      <c r="H5" s="17"/>
      <c r="I5" s="17"/>
      <c r="J5" s="17">
        <f>B50*B61+C50*C61</f>
        <v>0</v>
      </c>
      <c r="K5" s="17"/>
      <c r="L5" s="17"/>
      <c r="M5" s="17"/>
      <c r="N5" s="17">
        <f>B48*B59+C48*C59</f>
        <v>2077.1352084193823</v>
      </c>
      <c r="O5" s="17">
        <f>B69*B70*B71</f>
        <v>25.013333333333335</v>
      </c>
      <c r="P5" s="17">
        <f>B77*B78*B79/1000-B77*B78*B79/1000/B80</f>
        <v>38.133333333333333</v>
      </c>
    </row>
    <row r="6" spans="1:16">
      <c r="A6" s="16" t="s">
        <v>621</v>
      </c>
      <c r="B6" s="843">
        <f>kWh_PV_kleiner_dan_10kW</f>
        <v>164.89067911313822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7217.886479641139</v>
      </c>
      <c r="C8" s="21">
        <f>C5</f>
        <v>0</v>
      </c>
      <c r="D8" s="21">
        <f>D5</f>
        <v>31875.587309461382</v>
      </c>
      <c r="E8" s="21">
        <f>E5</f>
        <v>391.8199753502816</v>
      </c>
      <c r="F8" s="21">
        <f>F5</f>
        <v>3898.7759682089568</v>
      </c>
      <c r="G8" s="21"/>
      <c r="H8" s="21"/>
      <c r="I8" s="21"/>
      <c r="J8" s="21">
        <f>J5</f>
        <v>0</v>
      </c>
      <c r="K8" s="21"/>
      <c r="L8" s="21">
        <f>L5</f>
        <v>0</v>
      </c>
      <c r="M8" s="21">
        <f>M5</f>
        <v>0</v>
      </c>
      <c r="N8" s="21">
        <f>N5</f>
        <v>2077.1352084193823</v>
      </c>
      <c r="O8" s="21">
        <f>O5</f>
        <v>25.013333333333335</v>
      </c>
      <c r="P8" s="21">
        <f>P5</f>
        <v>38.133333333333333</v>
      </c>
    </row>
    <row r="9" spans="1:16">
      <c r="B9" s="19"/>
      <c r="C9" s="19"/>
      <c r="D9" s="258"/>
      <c r="E9" s="19"/>
      <c r="F9" s="19"/>
      <c r="G9" s="19"/>
      <c r="H9" s="19"/>
      <c r="I9" s="19"/>
      <c r="J9" s="19"/>
      <c r="K9" s="19"/>
      <c r="L9" s="19"/>
      <c r="M9" s="19"/>
      <c r="N9" s="19"/>
      <c r="O9" s="19"/>
      <c r="P9" s="19"/>
    </row>
    <row r="10" spans="1:16">
      <c r="A10" s="24" t="s">
        <v>214</v>
      </c>
      <c r="B10" s="25">
        <f ca="1">'EF ele_warmte'!B12</f>
        <v>0.21825512648275083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1575.3407265522139</v>
      </c>
      <c r="C12" s="23">
        <f ca="1">C10*C8</f>
        <v>0</v>
      </c>
      <c r="D12" s="23">
        <f>D8*D10</f>
        <v>6438.8686365111998</v>
      </c>
      <c r="E12" s="23">
        <f>E10*E8</f>
        <v>88.943134404513927</v>
      </c>
      <c r="F12" s="23">
        <f>F10*F8</f>
        <v>1040.9731835117916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1947</v>
      </c>
      <c r="C28" s="36"/>
      <c r="D28" s="228"/>
    </row>
    <row r="29" spans="1:7" s="15" customFormat="1">
      <c r="A29" s="230" t="s">
        <v>795</v>
      </c>
      <c r="B29" s="37">
        <f>SUM(HH_hh_gas_aantal,HH_rest_gas_aantal)</f>
        <v>1560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1560</v>
      </c>
      <c r="C32" s="167">
        <f>IF(ISERROR(B32/SUM($B$32,$B$34,$B$35,$B$36,$B$38,$B$39)*100),0,B32/SUM($B$32,$B$34,$B$35,$B$36,$B$38,$B$39)*100)</f>
        <v>80.205655526992288</v>
      </c>
      <c r="D32" s="233"/>
      <c r="G32" s="15"/>
    </row>
    <row r="33" spans="1:7">
      <c r="A33" s="171" t="s">
        <v>72</v>
      </c>
      <c r="B33" s="34" t="s">
        <v>111</v>
      </c>
      <c r="C33" s="167"/>
      <c r="D33" s="233"/>
      <c r="G33" s="15"/>
    </row>
    <row r="34" spans="1:7">
      <c r="A34" s="171" t="s">
        <v>73</v>
      </c>
      <c r="B34" s="33">
        <f>IF((($B$28-$B$32-$B$39-$B$77-$B$38)*C20/100)&lt;0,0,($B$28-$B$32-$B$39-$B$77-$B$38)*C20/100)</f>
        <v>18.505263157894738</v>
      </c>
      <c r="C34" s="167">
        <f>IF(ISERROR(B34/SUM($B$32,$B$34,$B$35,$B$36,$B$38,$B$39)*100),0,B34/SUM($B$32,$B$34,$B$35,$B$36,$B$38,$B$39)*100)</f>
        <v>0.95142741171695322</v>
      </c>
      <c r="D34" s="233"/>
      <c r="G34" s="15"/>
    </row>
    <row r="35" spans="1:7">
      <c r="A35" s="171" t="s">
        <v>74</v>
      </c>
      <c r="B35" s="33">
        <f>IF((($B$28-$B$32-$B$39-$B$77-$B$38)*C21/100)&lt;0,0,($B$28-$B$32-$B$39-$B$77-$B$38)*C21/100)</f>
        <v>187.10877192982463</v>
      </c>
      <c r="C35" s="167">
        <f>IF(ISERROR(B35/SUM($B$32,$B$34,$B$35,$B$36,$B$38,$B$39)*100),0,B35/SUM($B$32,$B$34,$B$35,$B$36,$B$38,$B$39)*100)</f>
        <v>9.6199882740269747</v>
      </c>
      <c r="D35" s="233"/>
      <c r="G35" s="15"/>
    </row>
    <row r="36" spans="1:7">
      <c r="A36" s="171" t="s">
        <v>75</v>
      </c>
      <c r="B36" s="33">
        <f>IF((($B$28-$B$32-$B$39-$B$77-$B$38)*C22/100)&lt;0,0,($B$28-$B$32-$B$39-$B$77-$B$38)*C22/100)</f>
        <v>28.785964912280704</v>
      </c>
      <c r="C36" s="167">
        <f>IF(ISERROR(B36/SUM($B$32,$B$34,$B$35,$B$36,$B$38,$B$39)*100),0,B36/SUM($B$32,$B$34,$B$35,$B$36,$B$38,$B$39)*100)</f>
        <v>1.4799981960041495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150.59999999999997</v>
      </c>
      <c r="C39" s="167">
        <f>IF(ISERROR(B39/SUM($B$32,$B$34,$B$35,$B$36,$B$38,$B$39)*100),0,B39/SUM($B$32,$B$34,$B$35,$B$36,$B$38,$B$39)*100)</f>
        <v>7.7429305912596389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1560</v>
      </c>
      <c r="C44" s="34" t="s">
        <v>111</v>
      </c>
      <c r="D44" s="174"/>
    </row>
    <row r="45" spans="1:7">
      <c r="A45" s="171" t="s">
        <v>72</v>
      </c>
      <c r="B45" s="33" t="str">
        <f t="shared" si="0"/>
        <v>-</v>
      </c>
      <c r="C45" s="34" t="s">
        <v>111</v>
      </c>
      <c r="D45" s="174"/>
    </row>
    <row r="46" spans="1:7">
      <c r="A46" s="171" t="s">
        <v>73</v>
      </c>
      <c r="B46" s="33">
        <f t="shared" si="0"/>
        <v>18.505263157894738</v>
      </c>
      <c r="C46" s="34" t="s">
        <v>111</v>
      </c>
      <c r="D46" s="174"/>
    </row>
    <row r="47" spans="1:7">
      <c r="A47" s="171" t="s">
        <v>74</v>
      </c>
      <c r="B47" s="33">
        <f t="shared" si="0"/>
        <v>187.10877192982463</v>
      </c>
      <c r="C47" s="34" t="s">
        <v>111</v>
      </c>
      <c r="D47" s="174"/>
    </row>
    <row r="48" spans="1:7">
      <c r="A48" s="171" t="s">
        <v>75</v>
      </c>
      <c r="B48" s="33">
        <f t="shared" si="0"/>
        <v>28.785964912280704</v>
      </c>
      <c r="C48" s="33">
        <f>B48*10</f>
        <v>287.85964912280701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7654.0011066845882</v>
      </c>
      <c r="C5" s="17">
        <f>IF(ISERROR('Eigen informatie GS &amp; warmtenet'!B58),0,'Eigen informatie GS &amp; warmtenet'!B58)</f>
        <v>0</v>
      </c>
      <c r="D5" s="30">
        <f>SUM(D6:D12)</f>
        <v>6249.2673237875833</v>
      </c>
      <c r="E5" s="17">
        <f>SUM(E6:E12)</f>
        <v>90.67213102180753</v>
      </c>
      <c r="F5" s="17">
        <f>SUM(F6:F12)</f>
        <v>1305.5152737159719</v>
      </c>
      <c r="G5" s="18"/>
      <c r="H5" s="17"/>
      <c r="I5" s="17"/>
      <c r="J5" s="17">
        <f>SUM(J6:J12)</f>
        <v>1.6659383393010294E-2</v>
      </c>
      <c r="K5" s="17"/>
      <c r="L5" s="17"/>
      <c r="M5" s="17"/>
      <c r="N5" s="17">
        <f>SUM(N6:N12)</f>
        <v>666.80121963089618</v>
      </c>
      <c r="O5" s="17">
        <f>B38*B39*B40</f>
        <v>1.5633333333333335</v>
      </c>
      <c r="P5" s="17">
        <f>B46*B47*B48/1000-B46*B47*B48/1000/B49</f>
        <v>0</v>
      </c>
      <c r="R5" s="32"/>
    </row>
    <row r="6" spans="1:18">
      <c r="A6" s="32" t="s">
        <v>54</v>
      </c>
      <c r="B6" s="37">
        <f>B26</f>
        <v>749.56498993744799</v>
      </c>
      <c r="C6" s="33"/>
      <c r="D6" s="37">
        <f>IF(ISERROR(TER_kantoor_gas_kWh/1000),0,TER_kantoor_gas_kWh/1000)*0.902</f>
        <v>2021.5947042341877</v>
      </c>
      <c r="E6" s="33">
        <f>$C$26*'E Balans VL '!I12/100/3.6*1000000</f>
        <v>4.6980240555179291E-3</v>
      </c>
      <c r="F6" s="33">
        <f>$C$26*('E Balans VL '!L12+'E Balans VL '!N12)/100/3.6*1000000</f>
        <v>112.63867314419106</v>
      </c>
      <c r="G6" s="34"/>
      <c r="H6" s="33"/>
      <c r="I6" s="33"/>
      <c r="J6" s="33">
        <f>$C$26*('E Balans VL '!D12+'E Balans VL '!E12)/100/3.6*1000000</f>
        <v>0</v>
      </c>
      <c r="K6" s="33"/>
      <c r="L6" s="33"/>
      <c r="M6" s="33"/>
      <c r="N6" s="33">
        <f>$C$26*'E Balans VL '!Y12/100/3.6*1000000</f>
        <v>0.71684777766897034</v>
      </c>
      <c r="O6" s="33"/>
      <c r="P6" s="33"/>
      <c r="R6" s="32"/>
    </row>
    <row r="7" spans="1:18">
      <c r="A7" s="32" t="s">
        <v>53</v>
      </c>
      <c r="B7" s="37">
        <f t="shared" ref="B7:B12" si="0">B27</f>
        <v>216.33857997067798</v>
      </c>
      <c r="C7" s="33"/>
      <c r="D7" s="37">
        <f>IF(ISERROR(TER_horeca_gas_kWh/1000),0,TER_horeca_gas_kWh/1000)*0.902</f>
        <v>676.3849641083599</v>
      </c>
      <c r="E7" s="33">
        <f>$C$27*'E Balans VL '!I9/100/3.6*1000000</f>
        <v>3.0979324300517228</v>
      </c>
      <c r="F7" s="33">
        <f>$C$27*('E Balans VL '!L9+'E Balans VL '!N9)/100/3.6*1000000</f>
        <v>27.395599345541974</v>
      </c>
      <c r="G7" s="34"/>
      <c r="H7" s="33"/>
      <c r="I7" s="33"/>
      <c r="J7" s="33">
        <f>$C$27*('E Balans VL '!D9+'E Balans VL '!E9)/100/3.6*1000000</f>
        <v>0</v>
      </c>
      <c r="K7" s="33"/>
      <c r="L7" s="33"/>
      <c r="M7" s="33"/>
      <c r="N7" s="33">
        <f>$C$27*'E Balans VL '!Y9/100/3.6*1000000</f>
        <v>6.2192571885324434E-2</v>
      </c>
      <c r="O7" s="33"/>
      <c r="P7" s="33"/>
      <c r="R7" s="32"/>
    </row>
    <row r="8" spans="1:18">
      <c r="A8" s="6" t="s">
        <v>52</v>
      </c>
      <c r="B8" s="37">
        <f t="shared" si="0"/>
        <v>238.590547771709</v>
      </c>
      <c r="C8" s="33"/>
      <c r="D8" s="37">
        <f>IF(ISERROR(TER_handel_gas_kWh/1000),0,TER_handel_gas_kWh/1000)*0.902</f>
        <v>154.83164526978675</v>
      </c>
      <c r="E8" s="33">
        <f>$C$28*'E Balans VL '!I13/100/3.6*1000000</f>
        <v>8.6536497460116717</v>
      </c>
      <c r="F8" s="33">
        <f>$C$28*('E Balans VL '!L13+'E Balans VL '!N13)/100/3.6*1000000</f>
        <v>45.954955383724375</v>
      </c>
      <c r="G8" s="34"/>
      <c r="H8" s="33"/>
      <c r="I8" s="33"/>
      <c r="J8" s="33">
        <f>$C$28*('E Balans VL '!D13+'E Balans VL '!E13)/100/3.6*1000000</f>
        <v>0</v>
      </c>
      <c r="K8" s="33"/>
      <c r="L8" s="33"/>
      <c r="M8" s="33"/>
      <c r="N8" s="33">
        <f>$C$28*'E Balans VL '!Y13/100/3.6*1000000</f>
        <v>0.33050280590051584</v>
      </c>
      <c r="O8" s="33"/>
      <c r="P8" s="33"/>
      <c r="R8" s="32"/>
    </row>
    <row r="9" spans="1:18">
      <c r="A9" s="32" t="s">
        <v>51</v>
      </c>
      <c r="B9" s="37">
        <f t="shared" si="0"/>
        <v>41.234342299861396</v>
      </c>
      <c r="C9" s="33"/>
      <c r="D9" s="37">
        <f>IF(ISERROR(TER_gezond_gas_kWh/1000),0,TER_gezond_gas_kWh/1000)*0.902</f>
        <v>171.12607700514636</v>
      </c>
      <c r="E9" s="33">
        <f>$C$29*'E Balans VL '!I10/100/3.6*1000000</f>
        <v>2.5816769435518519E-3</v>
      </c>
      <c r="F9" s="33">
        <f>$C$29*('E Balans VL '!L10+'E Balans VL '!N10)/100/3.6*1000000</f>
        <v>6.1254870952602856</v>
      </c>
      <c r="G9" s="34"/>
      <c r="H9" s="33"/>
      <c r="I9" s="33"/>
      <c r="J9" s="33">
        <f>$C$29*('E Balans VL '!D10+'E Balans VL '!E10)/100/3.6*1000000</f>
        <v>0</v>
      </c>
      <c r="K9" s="33"/>
      <c r="L9" s="33"/>
      <c r="M9" s="33"/>
      <c r="N9" s="33">
        <f>$C$29*'E Balans VL '!Y10/100/3.6*1000000</f>
        <v>0.63781678546818177</v>
      </c>
      <c r="O9" s="33"/>
      <c r="P9" s="33"/>
      <c r="R9" s="32"/>
    </row>
    <row r="10" spans="1:18">
      <c r="A10" s="32" t="s">
        <v>50</v>
      </c>
      <c r="B10" s="37">
        <f t="shared" si="0"/>
        <v>59.197086171782594</v>
      </c>
      <c r="C10" s="33"/>
      <c r="D10" s="37">
        <f>IF(ISERROR(TER_ander_gas_kWh/1000),0,TER_ander_gas_kWh/1000)*0.902</f>
        <v>274.07775186107585</v>
      </c>
      <c r="E10" s="33">
        <f>$C$30*'E Balans VL '!I14/100/3.6*1000000</f>
        <v>7.0560811370335805E-2</v>
      </c>
      <c r="F10" s="33">
        <f>$C$30*('E Balans VL '!L14+'E Balans VL '!N14)/100/3.6*1000000</f>
        <v>15.488589438287871</v>
      </c>
      <c r="G10" s="34"/>
      <c r="H10" s="33"/>
      <c r="I10" s="33"/>
      <c r="J10" s="33">
        <f>$C$30*('E Balans VL '!D14+'E Balans VL '!E14)/100/3.6*1000000</f>
        <v>1.2849366946188561E-3</v>
      </c>
      <c r="K10" s="33"/>
      <c r="L10" s="33"/>
      <c r="M10" s="33"/>
      <c r="N10" s="33">
        <f>$C$30*'E Balans VL '!Y14/100/3.6*1000000</f>
        <v>50.268717044768692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6349.0755605331096</v>
      </c>
      <c r="C12" s="33"/>
      <c r="D12" s="37">
        <f>IF(ISERROR(TER_rest_gas_kWh/1000),0,TER_rest_gas_kWh/1000)*0.902</f>
        <v>2951.252181309027</v>
      </c>
      <c r="E12" s="33">
        <f>$C$32*'E Balans VL '!I8/100/3.6*1000000</f>
        <v>78.842708333374731</v>
      </c>
      <c r="F12" s="33">
        <f>$C$32*('E Balans VL '!L8+'E Balans VL '!N8)/100/3.6*1000000</f>
        <v>1097.9119693089663</v>
      </c>
      <c r="G12" s="34"/>
      <c r="H12" s="33"/>
      <c r="I12" s="33"/>
      <c r="J12" s="33">
        <f>$C$32*('E Balans VL '!D8+'E Balans VL '!E8)/100/3.6*1000000</f>
        <v>1.5374446698391438E-2</v>
      </c>
      <c r="K12" s="33"/>
      <c r="L12" s="33"/>
      <c r="M12" s="33"/>
      <c r="N12" s="33">
        <f>$C$32*'E Balans VL '!Y8/100/3.6*1000000</f>
        <v>614.78514264520447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7654.0011066845882</v>
      </c>
      <c r="C16" s="21">
        <f t="shared" ca="1" si="1"/>
        <v>0</v>
      </c>
      <c r="D16" s="21">
        <f t="shared" ca="1" si="1"/>
        <v>6249.2673237875833</v>
      </c>
      <c r="E16" s="21">
        <f t="shared" si="1"/>
        <v>90.67213102180753</v>
      </c>
      <c r="F16" s="21">
        <f t="shared" ca="1" si="1"/>
        <v>1305.5152737159719</v>
      </c>
      <c r="G16" s="21">
        <f t="shared" si="1"/>
        <v>0</v>
      </c>
      <c r="H16" s="21">
        <f t="shared" si="1"/>
        <v>0</v>
      </c>
      <c r="I16" s="21">
        <f t="shared" si="1"/>
        <v>0</v>
      </c>
      <c r="J16" s="21">
        <f t="shared" si="1"/>
        <v>1.6659383393010294E-2</v>
      </c>
      <c r="K16" s="21">
        <f t="shared" si="1"/>
        <v>0</v>
      </c>
      <c r="L16" s="21">
        <f t="shared" ca="1" si="1"/>
        <v>0</v>
      </c>
      <c r="M16" s="21">
        <f t="shared" si="1"/>
        <v>0</v>
      </c>
      <c r="N16" s="21">
        <f t="shared" ca="1" si="1"/>
        <v>666.80121963089618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0.21825512648275083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1670.5249796385597</v>
      </c>
      <c r="C20" s="23">
        <f t="shared" ref="C20:P20" ca="1" si="2">C16*C18</f>
        <v>0</v>
      </c>
      <c r="D20" s="23">
        <f t="shared" ca="1" si="2"/>
        <v>1262.3519994050919</v>
      </c>
      <c r="E20" s="23">
        <f t="shared" si="2"/>
        <v>20.582573741950309</v>
      </c>
      <c r="F20" s="23">
        <f t="shared" ca="1" si="2"/>
        <v>348.57257808216451</v>
      </c>
      <c r="G20" s="23">
        <f t="shared" si="2"/>
        <v>0</v>
      </c>
      <c r="H20" s="23">
        <f t="shared" si="2"/>
        <v>0</v>
      </c>
      <c r="I20" s="23">
        <f t="shared" si="2"/>
        <v>0</v>
      </c>
      <c r="J20" s="23">
        <f t="shared" si="2"/>
        <v>5.8974217211256435E-3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749.56498993744799</v>
      </c>
      <c r="C26" s="39">
        <f>IF(ISERROR(B26*3.6/1000000/'E Balans VL '!Z12*100),0,B26*3.6/1000000/'E Balans VL '!Z12*100)</f>
        <v>1.5844616480420719E-2</v>
      </c>
      <c r="D26" s="237" t="s">
        <v>754</v>
      </c>
      <c r="F26" s="6"/>
    </row>
    <row r="27" spans="1:18">
      <c r="A27" s="231" t="s">
        <v>53</v>
      </c>
      <c r="B27" s="33">
        <f>IF(ISERROR(TER_horeca_ele_kWh/1000),0,TER_horeca_ele_kWh/1000)</f>
        <v>216.33857997067798</v>
      </c>
      <c r="C27" s="39">
        <f>IF(ISERROR(B27*3.6/1000000/'E Balans VL '!Z9*100),0,B27*3.6/1000000/'E Balans VL '!Z9*100)</f>
        <v>1.70538896255833E-2</v>
      </c>
      <c r="D27" s="237" t="s">
        <v>754</v>
      </c>
      <c r="F27" s="6"/>
    </row>
    <row r="28" spans="1:18">
      <c r="A28" s="171" t="s">
        <v>52</v>
      </c>
      <c r="B28" s="33">
        <f>IF(ISERROR(TER_handel_ele_kWh/1000),0,TER_handel_ele_kWh/1000)</f>
        <v>238.590547771709</v>
      </c>
      <c r="C28" s="39">
        <f>IF(ISERROR(B28*3.6/1000000/'E Balans VL '!Z13*100),0,B28*3.6/1000000/'E Balans VL '!Z13*100)</f>
        <v>6.9248617101716281E-3</v>
      </c>
      <c r="D28" s="237" t="s">
        <v>754</v>
      </c>
      <c r="F28" s="6"/>
    </row>
    <row r="29" spans="1:18">
      <c r="A29" s="231" t="s">
        <v>51</v>
      </c>
      <c r="B29" s="33">
        <f>IF(ISERROR(TER_gezond_ele_kWh/1000),0,TER_gezond_ele_kWh/1000)</f>
        <v>41.234342299861396</v>
      </c>
      <c r="C29" s="39">
        <f>IF(ISERROR(B29*3.6/1000000/'E Balans VL '!Z10*100),0,B29*3.6/1000000/'E Balans VL '!Z10*100)</f>
        <v>4.3426533299484159E-3</v>
      </c>
      <c r="D29" s="237" t="s">
        <v>754</v>
      </c>
      <c r="F29" s="6"/>
    </row>
    <row r="30" spans="1:18">
      <c r="A30" s="231" t="s">
        <v>50</v>
      </c>
      <c r="B30" s="33">
        <f>IF(ISERROR(TER_ander_ele_kWh/1000),0,TER_ander_ele_kWh/1000)</f>
        <v>59.197086171782594</v>
      </c>
      <c r="C30" s="39">
        <f>IF(ISERROR(B30*3.6/1000000/'E Balans VL '!Z14*100),0,B30*3.6/1000000/'E Balans VL '!Z14*100)</f>
        <v>4.3663899335738424E-3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6349.0755605331096</v>
      </c>
      <c r="C32" s="39">
        <f>IF(ISERROR(B32*3.6/1000000/'E Balans VL '!Z8*100),0,B32*3.6/1000000/'E Balans VL '!Z8*100)</f>
        <v>5.2244464322062679E-2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350.54827182833606</v>
      </c>
      <c r="C5" s="17">
        <f>IF(ISERROR('Eigen informatie GS &amp; warmtenet'!B59),0,'Eigen informatie GS &amp; warmtenet'!B59)</f>
        <v>0</v>
      </c>
      <c r="D5" s="30">
        <f>SUM(D6:D15)</f>
        <v>655.41997999323871</v>
      </c>
      <c r="E5" s="17">
        <f>SUM(E6:E15)</f>
        <v>34.074389758775204</v>
      </c>
      <c r="F5" s="17">
        <f>SUM(F6:F15)</f>
        <v>107.0207391018298</v>
      </c>
      <c r="G5" s="18"/>
      <c r="H5" s="17"/>
      <c r="I5" s="17"/>
      <c r="J5" s="17">
        <f>SUM(J6:J15)</f>
        <v>1.032723760973443</v>
      </c>
      <c r="K5" s="17"/>
      <c r="L5" s="17"/>
      <c r="M5" s="17"/>
      <c r="N5" s="17">
        <f>SUM(N6:N15)</f>
        <v>85.219775794402608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62.076415278926099</v>
      </c>
      <c r="C9" s="33"/>
      <c r="D9" s="37">
        <f>IF( ISERROR(IND_andere_gas_kWh/1000),0,IND_andere_gas_kWh/1000)*0.902</f>
        <v>0</v>
      </c>
      <c r="E9" s="33">
        <f>C31*'E Balans VL '!I19/100/3.6*1000000</f>
        <v>18.146144671295566</v>
      </c>
      <c r="F9" s="33">
        <f>C31*'E Balans VL '!L19/100/3.6*1000000+C31*'E Balans VL '!N19/100/3.6*1000000</f>
        <v>49.883098429504493</v>
      </c>
      <c r="G9" s="34"/>
      <c r="H9" s="33"/>
      <c r="I9" s="33"/>
      <c r="J9" s="40">
        <f>C31*'E Balans VL '!D19/100/3.6*1000000+C31*'E Balans VL '!E19/100/3.6*1000000</f>
        <v>0</v>
      </c>
      <c r="K9" s="33"/>
      <c r="L9" s="33"/>
      <c r="M9" s="33"/>
      <c r="N9" s="33">
        <f>C31*'E Balans VL '!Y19/100/3.6*1000000</f>
        <v>20.511010345100051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288.47185654940995</v>
      </c>
      <c r="C15" s="33"/>
      <c r="D15" s="37">
        <f>IF( ISERROR(IND_rest_gas_kWh/1000),0,IND_rest_gas_kWh/1000)*0.902</f>
        <v>655.41997999323871</v>
      </c>
      <c r="E15" s="33">
        <f>C37*'E Balans VL '!I15/100/3.6*1000000</f>
        <v>15.928245087479636</v>
      </c>
      <c r="F15" s="33">
        <f>C37*'E Balans VL '!L15/100/3.6*1000000+C37*'E Balans VL '!N15/100/3.6*1000000</f>
        <v>57.137640672325304</v>
      </c>
      <c r="G15" s="34"/>
      <c r="H15" s="33"/>
      <c r="I15" s="33"/>
      <c r="J15" s="40">
        <f>C37*'E Balans VL '!D15/100/3.6*1000000+C37*'E Balans VL '!E15/100/3.6*1000000</f>
        <v>1.032723760973443</v>
      </c>
      <c r="K15" s="33"/>
      <c r="L15" s="33"/>
      <c r="M15" s="33"/>
      <c r="N15" s="33">
        <f>C37*'E Balans VL '!Y15/100/3.6*1000000</f>
        <v>64.708765449302561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350.54827182833606</v>
      </c>
      <c r="C18" s="21">
        <f>C5+C16</f>
        <v>0</v>
      </c>
      <c r="D18" s="21">
        <f>MAX((D5+D16),0)</f>
        <v>655.41997999323871</v>
      </c>
      <c r="E18" s="21">
        <f>MAX((E5+E16),0)</f>
        <v>34.074389758775204</v>
      </c>
      <c r="F18" s="21">
        <f>MAX((F5+F16),0)</f>
        <v>107.0207391018298</v>
      </c>
      <c r="G18" s="21"/>
      <c r="H18" s="21"/>
      <c r="I18" s="21"/>
      <c r="J18" s="21">
        <f>MAX((J5+J16),0)</f>
        <v>1.032723760973443</v>
      </c>
      <c r="K18" s="21"/>
      <c r="L18" s="21">
        <f>MAX((L5+L16),0)</f>
        <v>0</v>
      </c>
      <c r="M18" s="21"/>
      <c r="N18" s="21">
        <f>MAX((N5+N16),0)</f>
        <v>85.219775794402608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0.21825512648275083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76.508957406203209</v>
      </c>
      <c r="C22" s="23">
        <f ca="1">C18*C20</f>
        <v>0</v>
      </c>
      <c r="D22" s="23">
        <f>D18*D20</f>
        <v>132.39483595863422</v>
      </c>
      <c r="E22" s="23">
        <f>E18*E20</f>
        <v>7.7348864752419715</v>
      </c>
      <c r="F22" s="23">
        <f>F18*F20</f>
        <v>28.574537340188559</v>
      </c>
      <c r="G22" s="23"/>
      <c r="H22" s="23"/>
      <c r="I22" s="23"/>
      <c r="J22" s="23">
        <f>J18*J20</f>
        <v>0.36558421138459879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62.076415278926099</v>
      </c>
      <c r="C31" s="39">
        <f>IF(ISERROR(B31*3.6/1000000/'E Balans VL '!Z19*100),0,B31*3.6/1000000/'E Balans VL '!Z19*100)</f>
        <v>2.8155277153576611E-3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288.47185654940995</v>
      </c>
      <c r="C37" s="39">
        <f>IF(ISERROR(B37*3.6/1000000/'E Balans VL '!Z15*100),0,B37*3.6/1000000/'E Balans VL '!Z15*100)</f>
        <v>2.2864937402873771E-3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75.935223418884405</v>
      </c>
      <c r="C5" s="17">
        <f>'Eigen informatie GS &amp; warmtenet'!B60</f>
        <v>0</v>
      </c>
      <c r="D5" s="30">
        <f>IF(ISERROR(SUM(LB_lb_gas_kWh,LB_rest_gas_kWh,onbekend_gas_kWh)/1000),0,SUM(LB_lb_gas_kWh,LB_rest_gas_kWh,onbekend_gas_kWh)/1000)*0.902</f>
        <v>830.30243946481403</v>
      </c>
      <c r="E5" s="17">
        <f>B17*'E Balans VL '!I25/3.6*1000000/100</f>
        <v>2.2319681492233818</v>
      </c>
      <c r="F5" s="17">
        <f>B17*('E Balans VL '!L25/3.6*1000000+'E Balans VL '!N25/3.6*1000000)/100</f>
        <v>316.3420374389728</v>
      </c>
      <c r="G5" s="18"/>
      <c r="H5" s="17"/>
      <c r="I5" s="17"/>
      <c r="J5" s="17">
        <f>('E Balans VL '!D25+'E Balans VL '!E25)/3.6*1000000*landbouw!B17/100</f>
        <v>11.001383145806674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75.935223418884405</v>
      </c>
      <c r="C8" s="21">
        <f>C5+C6</f>
        <v>0</v>
      </c>
      <c r="D8" s="21">
        <f>MAX((D5+D6),0)</f>
        <v>830.30243946481403</v>
      </c>
      <c r="E8" s="21">
        <f>MAX((E5+E6),0)</f>
        <v>2.2319681492233818</v>
      </c>
      <c r="F8" s="21">
        <f>MAX((F5+F6),0)</f>
        <v>316.3420374389728</v>
      </c>
      <c r="G8" s="21"/>
      <c r="H8" s="21"/>
      <c r="I8" s="21"/>
      <c r="J8" s="21">
        <f>MAX((J5+J6),0)</f>
        <v>11.001383145806674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0.21825512648275083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16.573251791784561</v>
      </c>
      <c r="C12" s="23">
        <f ca="1">C8*C10</f>
        <v>0</v>
      </c>
      <c r="D12" s="23">
        <f>D8*D10</f>
        <v>167.72109277189244</v>
      </c>
      <c r="E12" s="23">
        <f>E8*E10</f>
        <v>0.50665676987370767</v>
      </c>
      <c r="F12" s="23">
        <f>F8*F10</f>
        <v>84.463323996205744</v>
      </c>
      <c r="G12" s="23"/>
      <c r="H12" s="23"/>
      <c r="I12" s="23"/>
      <c r="J12" s="23">
        <f>J8*J10</f>
        <v>3.8944896336155623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1.077544644263761E-2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2.887001300677468</v>
      </c>
      <c r="C26" s="247">
        <f>B26*'GWP N2O_CH4'!B5</f>
        <v>60.627027314226829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0.1701735765509528</v>
      </c>
      <c r="C27" s="247">
        <f>B27*'GWP N2O_CH4'!B5</f>
        <v>3.5736451075700089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4.5989005207677479E-2</v>
      </c>
      <c r="C28" s="247">
        <f>B28*'GWP N2O_CH4'!B4</f>
        <v>14.256591614380019</v>
      </c>
      <c r="D28" s="50"/>
    </row>
    <row r="29" spans="1:4">
      <c r="A29" s="41" t="s">
        <v>277</v>
      </c>
      <c r="B29" s="247">
        <f>B34*'ha_N2O bodem landbouw'!B4</f>
        <v>0.93696367784662216</v>
      </c>
      <c r="C29" s="247">
        <f>B29*'GWP N2O_CH4'!B4</f>
        <v>290.45874013245287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2.1381188236412009E-4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2.297126213096401E-5</v>
      </c>
      <c r="C5" s="463" t="s">
        <v>211</v>
      </c>
      <c r="D5" s="448">
        <f>SUM(D6:D11)</f>
        <v>1.2250604236121754E-4</v>
      </c>
      <c r="E5" s="448">
        <f>SUM(E6:E11)</f>
        <v>1.5499513909438453E-4</v>
      </c>
      <c r="F5" s="461" t="s">
        <v>211</v>
      </c>
      <c r="G5" s="448">
        <f>SUM(G6:G11)</f>
        <v>4.2317279641975673E-2</v>
      </c>
      <c r="H5" s="448">
        <f>SUM(H6:H11)</f>
        <v>1.3539516567771677E-2</v>
      </c>
      <c r="I5" s="463" t="s">
        <v>211</v>
      </c>
      <c r="J5" s="463" t="s">
        <v>211</v>
      </c>
      <c r="K5" s="463" t="s">
        <v>211</v>
      </c>
      <c r="L5" s="463" t="s">
        <v>211</v>
      </c>
      <c r="M5" s="448">
        <f>SUM(M6:M11)</f>
        <v>2.8742187987958884E-3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962">
        <f>vkm_2011_GW_PW*SUMIFS(TableVerdeelsleutelVkm[CNG],TableVerdeelsleutelVkm[Voertuigtype],"Lichte voertuigen")*SUMIFS(TableECFTransport[EnergieConsumptieFactor (PJ per km)],TableECFTransport[Index],CONCATENATE($A6,"_CNG_CNG"))</f>
        <v>0</v>
      </c>
      <c r="E6" s="962">
        <f>vkm_2011_GW_PW*SUMIFS(TableVerdeelsleutelVkm[LPG],TableVerdeelsleutelVkm[Voertuigtype],"Lichte voertuigen")*SUMIFS(TableECFTransport[EnergieConsumptieFactor (PJ per km)],TableECFTransport[Index],CONCATENATE($A6,"_LPG_LPG"))</f>
        <v>0</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2.297126213096401E-5</v>
      </c>
      <c r="C8" s="449"/>
      <c r="D8" s="451">
        <f>vkm_2011_NGW_PW*SUMIFS(TableVerdeelsleutelVkm[CNG],TableVerdeelsleutelVkm[Voertuigtype],"Lichte voertuigen")*SUMIFS(TableECFTransport[EnergieConsumptieFactor (PJ per km)],TableECFTransport[Index],CONCATENATE($A8,"_CNG_CNG"))</f>
        <v>1.2250604236121754E-4</v>
      </c>
      <c r="E8" s="451">
        <f>vkm_2011_NGW_PW*SUMIFS(TableVerdeelsleutelVkm[LPG],TableVerdeelsleutelVkm[Voertuigtype],"Lichte voertuigen")*SUMIFS(TableECFTransport[EnergieConsumptieFactor (PJ per km)],TableECFTransport[Index],CONCATENATE($A8,"_LPG_LPG"))</f>
        <v>1.5499513909438453E-4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3.7345322264642593E-2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1.3538090244757118E-2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2.5836767526829334E-3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4.9719573773330823E-3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1.4263230145584582E-6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2.9054204611295495E-4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6.3809061474900028</v>
      </c>
      <c r="C14" s="21"/>
      <c r="D14" s="21">
        <f t="shared" ref="D14:M14" si="0">((D5)*10^9/3600)+D12</f>
        <v>34.029456211449315</v>
      </c>
      <c r="E14" s="21">
        <f t="shared" si="0"/>
        <v>43.054205303995701</v>
      </c>
      <c r="F14" s="21"/>
      <c r="G14" s="21">
        <f t="shared" si="0"/>
        <v>11754.799900548798</v>
      </c>
      <c r="H14" s="21">
        <f t="shared" si="0"/>
        <v>3760.9768243810213</v>
      </c>
      <c r="I14" s="21"/>
      <c r="J14" s="21"/>
      <c r="K14" s="21"/>
      <c r="L14" s="21"/>
      <c r="M14" s="21">
        <f t="shared" si="0"/>
        <v>798.39411077663556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0.21825512648275083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1.392665478294993</v>
      </c>
      <c r="C18" s="23"/>
      <c r="D18" s="23">
        <f t="shared" ref="D18:M18" si="1">D14*D16</f>
        <v>6.8739501547127624</v>
      </c>
      <c r="E18" s="23">
        <f t="shared" si="1"/>
        <v>9.7733046040070253</v>
      </c>
      <c r="F18" s="23"/>
      <c r="G18" s="23">
        <f t="shared" si="1"/>
        <v>3138.5315734465294</v>
      </c>
      <c r="H18" s="23">
        <f t="shared" si="1"/>
        <v>936.48322927087429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9.2679044349018135E-4</v>
      </c>
      <c r="H50" s="321">
        <f t="shared" si="2"/>
        <v>0</v>
      </c>
      <c r="I50" s="321">
        <f t="shared" si="2"/>
        <v>0</v>
      </c>
      <c r="J50" s="321">
        <f t="shared" si="2"/>
        <v>0</v>
      </c>
      <c r="K50" s="321">
        <f t="shared" si="2"/>
        <v>0</v>
      </c>
      <c r="L50" s="321">
        <f t="shared" si="2"/>
        <v>0</v>
      </c>
      <c r="M50" s="321">
        <f t="shared" si="2"/>
        <v>5.2637605803037025E-5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9.2679044349018135E-4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5.2637605803037025E-5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257.44178985838369</v>
      </c>
      <c r="H54" s="21">
        <f t="shared" si="3"/>
        <v>0</v>
      </c>
      <c r="I54" s="21">
        <f t="shared" si="3"/>
        <v>0</v>
      </c>
      <c r="J54" s="21">
        <f t="shared" si="3"/>
        <v>0</v>
      </c>
      <c r="K54" s="21">
        <f t="shared" si="3"/>
        <v>0</v>
      </c>
      <c r="L54" s="21">
        <f t="shared" si="3"/>
        <v>0</v>
      </c>
      <c r="M54" s="21">
        <f t="shared" si="3"/>
        <v>14.621557167510286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0.21825512648275083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68.736957892188443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193.86118813086878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193.86118813086878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7957.7361066845879</v>
      </c>
      <c r="D10" s="718">
        <f ca="1">tertiair!C16</f>
        <v>0</v>
      </c>
      <c r="E10" s="718">
        <f ca="1">tertiair!D16</f>
        <v>6249.2673237875833</v>
      </c>
      <c r="F10" s="718">
        <f>tertiair!E16</f>
        <v>90.67213102180753</v>
      </c>
      <c r="G10" s="718">
        <f ca="1">tertiair!F16</f>
        <v>1305.5152737159719</v>
      </c>
      <c r="H10" s="718">
        <f>tertiair!G16</f>
        <v>0</v>
      </c>
      <c r="I10" s="718">
        <f>tertiair!H16</f>
        <v>0</v>
      </c>
      <c r="J10" s="718">
        <f>tertiair!I16</f>
        <v>0</v>
      </c>
      <c r="K10" s="718">
        <f>tertiair!J16</f>
        <v>1.6659383393010294E-2</v>
      </c>
      <c r="L10" s="718">
        <f>tertiair!K16</f>
        <v>0</v>
      </c>
      <c r="M10" s="718">
        <f ca="1">tertiair!L16</f>
        <v>0</v>
      </c>
      <c r="N10" s="718">
        <f>tertiair!M16</f>
        <v>0</v>
      </c>
      <c r="O10" s="718">
        <f ca="1">tertiair!N16</f>
        <v>666.80121963089618</v>
      </c>
      <c r="P10" s="718">
        <f>tertiair!O16</f>
        <v>1.5633333333333335</v>
      </c>
      <c r="Q10" s="719">
        <f>tertiair!P16</f>
        <v>0</v>
      </c>
      <c r="R10" s="721">
        <f ca="1">SUM(C10:Q10)</f>
        <v>16271.572047557571</v>
      </c>
      <c r="S10" s="67"/>
    </row>
    <row r="11" spans="1:19" s="474" customFormat="1">
      <c r="A11" s="870" t="s">
        <v>225</v>
      </c>
      <c r="B11" s="875"/>
      <c r="C11" s="718">
        <f>huishoudens!B8</f>
        <v>7217.886479641139</v>
      </c>
      <c r="D11" s="718">
        <f>huishoudens!C8</f>
        <v>0</v>
      </c>
      <c r="E11" s="718">
        <f>huishoudens!D8</f>
        <v>31875.587309461382</v>
      </c>
      <c r="F11" s="718">
        <f>huishoudens!E8</f>
        <v>391.8199753502816</v>
      </c>
      <c r="G11" s="718">
        <f>huishoudens!F8</f>
        <v>3898.7759682089568</v>
      </c>
      <c r="H11" s="718">
        <f>huishoudens!G8</f>
        <v>0</v>
      </c>
      <c r="I11" s="718">
        <f>huishoudens!H8</f>
        <v>0</v>
      </c>
      <c r="J11" s="718">
        <f>huishoudens!I8</f>
        <v>0</v>
      </c>
      <c r="K11" s="718">
        <f>huishoudens!J8</f>
        <v>0</v>
      </c>
      <c r="L11" s="718">
        <f>huishoudens!K8</f>
        <v>0</v>
      </c>
      <c r="M11" s="718">
        <f>huishoudens!L8</f>
        <v>0</v>
      </c>
      <c r="N11" s="718">
        <f>huishoudens!M8</f>
        <v>0</v>
      </c>
      <c r="O11" s="718">
        <f>huishoudens!N8</f>
        <v>2077.1352084193823</v>
      </c>
      <c r="P11" s="718">
        <f>huishoudens!O8</f>
        <v>25.013333333333335</v>
      </c>
      <c r="Q11" s="719">
        <f>huishoudens!P8</f>
        <v>38.133333333333333</v>
      </c>
      <c r="R11" s="721">
        <f>SUM(C11:Q11)</f>
        <v>45524.351607747813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350.54827182833606</v>
      </c>
      <c r="D13" s="718">
        <f>industrie!C18</f>
        <v>0</v>
      </c>
      <c r="E13" s="718">
        <f>industrie!D18</f>
        <v>655.41997999323871</v>
      </c>
      <c r="F13" s="718">
        <f>industrie!E18</f>
        <v>34.074389758775204</v>
      </c>
      <c r="G13" s="718">
        <f>industrie!F18</f>
        <v>107.0207391018298</v>
      </c>
      <c r="H13" s="718">
        <f>industrie!G18</f>
        <v>0</v>
      </c>
      <c r="I13" s="718">
        <f>industrie!H18</f>
        <v>0</v>
      </c>
      <c r="J13" s="718">
        <f>industrie!I18</f>
        <v>0</v>
      </c>
      <c r="K13" s="718">
        <f>industrie!J18</f>
        <v>1.032723760973443</v>
      </c>
      <c r="L13" s="718">
        <f>industrie!K18</f>
        <v>0</v>
      </c>
      <c r="M13" s="718">
        <f>industrie!L18</f>
        <v>0</v>
      </c>
      <c r="N13" s="718">
        <f>industrie!M18</f>
        <v>0</v>
      </c>
      <c r="O13" s="718">
        <f>industrie!N18</f>
        <v>85.219775794402608</v>
      </c>
      <c r="P13" s="718">
        <f>industrie!O18</f>
        <v>0</v>
      </c>
      <c r="Q13" s="719">
        <f>industrie!P18</f>
        <v>0</v>
      </c>
      <c r="R13" s="721">
        <f>SUM(C13:Q13)</f>
        <v>1233.3158802375556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15526.170858154064</v>
      </c>
      <c r="D15" s="723">
        <f t="shared" ref="D15:Q15" ca="1" si="0">SUM(D9:D14)</f>
        <v>0</v>
      </c>
      <c r="E15" s="723">
        <f t="shared" ca="1" si="0"/>
        <v>38780.274613242203</v>
      </c>
      <c r="F15" s="723">
        <f t="shared" si="0"/>
        <v>516.56649613086427</v>
      </c>
      <c r="G15" s="723">
        <f t="shared" ca="1" si="0"/>
        <v>5311.3119810267581</v>
      </c>
      <c r="H15" s="723">
        <f t="shared" si="0"/>
        <v>0</v>
      </c>
      <c r="I15" s="723">
        <f t="shared" si="0"/>
        <v>0</v>
      </c>
      <c r="J15" s="723">
        <f t="shared" si="0"/>
        <v>0</v>
      </c>
      <c r="K15" s="723">
        <f t="shared" si="0"/>
        <v>1.0493831443664532</v>
      </c>
      <c r="L15" s="723">
        <f t="shared" si="0"/>
        <v>0</v>
      </c>
      <c r="M15" s="723">
        <f t="shared" ca="1" si="0"/>
        <v>0</v>
      </c>
      <c r="N15" s="723">
        <f t="shared" si="0"/>
        <v>0</v>
      </c>
      <c r="O15" s="723">
        <f t="shared" ca="1" si="0"/>
        <v>2829.1562038446814</v>
      </c>
      <c r="P15" s="723">
        <f t="shared" si="0"/>
        <v>26.576666666666668</v>
      </c>
      <c r="Q15" s="724">
        <f t="shared" si="0"/>
        <v>38.133333333333333</v>
      </c>
      <c r="R15" s="725">
        <f ca="1">SUM(R9:R14)</f>
        <v>63029.23953554294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257.44178985838369</v>
      </c>
      <c r="I18" s="718">
        <f>transport!H54</f>
        <v>0</v>
      </c>
      <c r="J18" s="718">
        <f>transport!I54</f>
        <v>0</v>
      </c>
      <c r="K18" s="718">
        <f>transport!J54</f>
        <v>0</v>
      </c>
      <c r="L18" s="718">
        <f>transport!K54</f>
        <v>0</v>
      </c>
      <c r="M18" s="718">
        <f>transport!L54</f>
        <v>0</v>
      </c>
      <c r="N18" s="718">
        <f>transport!M54</f>
        <v>14.621557167510286</v>
      </c>
      <c r="O18" s="718">
        <f>transport!N54</f>
        <v>0</v>
      </c>
      <c r="P18" s="718">
        <f>transport!O54</f>
        <v>0</v>
      </c>
      <c r="Q18" s="719">
        <f>transport!P54</f>
        <v>0</v>
      </c>
      <c r="R18" s="721">
        <f>SUM(C18:Q18)</f>
        <v>272.06334702589396</v>
      </c>
      <c r="S18" s="67"/>
    </row>
    <row r="19" spans="1:19" s="474" customFormat="1" ht="15" thickBot="1">
      <c r="A19" s="870" t="s">
        <v>307</v>
      </c>
      <c r="B19" s="875"/>
      <c r="C19" s="727">
        <f>transport!B14</f>
        <v>6.3809061474900028</v>
      </c>
      <c r="D19" s="727">
        <f>transport!C14</f>
        <v>0</v>
      </c>
      <c r="E19" s="727">
        <f>transport!D14</f>
        <v>34.029456211449315</v>
      </c>
      <c r="F19" s="727">
        <f>transport!E14</f>
        <v>43.054205303995701</v>
      </c>
      <c r="G19" s="727">
        <f>transport!F14</f>
        <v>0</v>
      </c>
      <c r="H19" s="727">
        <f>transport!G14</f>
        <v>11754.799900548798</v>
      </c>
      <c r="I19" s="727">
        <f>transport!H14</f>
        <v>3760.9768243810213</v>
      </c>
      <c r="J19" s="727">
        <f>transport!I14</f>
        <v>0</v>
      </c>
      <c r="K19" s="727">
        <f>transport!J14</f>
        <v>0</v>
      </c>
      <c r="L19" s="727">
        <f>transport!K14</f>
        <v>0</v>
      </c>
      <c r="M19" s="727">
        <f>transport!L14</f>
        <v>0</v>
      </c>
      <c r="N19" s="727">
        <f>transport!M14</f>
        <v>798.39411077663556</v>
      </c>
      <c r="O19" s="727">
        <f>transport!N14</f>
        <v>0</v>
      </c>
      <c r="P19" s="727">
        <f>transport!O14</f>
        <v>0</v>
      </c>
      <c r="Q19" s="728">
        <f>transport!P14</f>
        <v>0</v>
      </c>
      <c r="R19" s="729">
        <f>SUM(C19:Q19)</f>
        <v>16397.63540336939</v>
      </c>
      <c r="S19" s="67"/>
    </row>
    <row r="20" spans="1:19" s="474" customFormat="1" ht="15.75" thickBot="1">
      <c r="A20" s="730" t="s">
        <v>230</v>
      </c>
      <c r="B20" s="878"/>
      <c r="C20" s="873">
        <f>SUM(C17:C19)</f>
        <v>6.3809061474900028</v>
      </c>
      <c r="D20" s="731">
        <f t="shared" ref="D20:R20" si="1">SUM(D17:D19)</f>
        <v>0</v>
      </c>
      <c r="E20" s="731">
        <f t="shared" si="1"/>
        <v>34.029456211449315</v>
      </c>
      <c r="F20" s="731">
        <f t="shared" si="1"/>
        <v>43.054205303995701</v>
      </c>
      <c r="G20" s="731">
        <f t="shared" si="1"/>
        <v>0</v>
      </c>
      <c r="H20" s="731">
        <f t="shared" si="1"/>
        <v>12012.241690407182</v>
      </c>
      <c r="I20" s="731">
        <f t="shared" si="1"/>
        <v>3760.9768243810213</v>
      </c>
      <c r="J20" s="731">
        <f t="shared" si="1"/>
        <v>0</v>
      </c>
      <c r="K20" s="731">
        <f t="shared" si="1"/>
        <v>0</v>
      </c>
      <c r="L20" s="731">
        <f t="shared" si="1"/>
        <v>0</v>
      </c>
      <c r="M20" s="731">
        <f t="shared" si="1"/>
        <v>0</v>
      </c>
      <c r="N20" s="731">
        <f t="shared" si="1"/>
        <v>813.01566794414589</v>
      </c>
      <c r="O20" s="731">
        <f t="shared" si="1"/>
        <v>0</v>
      </c>
      <c r="P20" s="731">
        <f t="shared" si="1"/>
        <v>0</v>
      </c>
      <c r="Q20" s="732">
        <f t="shared" si="1"/>
        <v>0</v>
      </c>
      <c r="R20" s="733">
        <f t="shared" si="1"/>
        <v>16669.698750395284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75.935223418884405</v>
      </c>
      <c r="D22" s="727">
        <f>+landbouw!C8</f>
        <v>0</v>
      </c>
      <c r="E22" s="727">
        <f>+landbouw!D8</f>
        <v>830.30243946481403</v>
      </c>
      <c r="F22" s="727">
        <f>+landbouw!E8</f>
        <v>2.2319681492233818</v>
      </c>
      <c r="G22" s="727">
        <f>+landbouw!F8</f>
        <v>316.3420374389728</v>
      </c>
      <c r="H22" s="727">
        <f>+landbouw!G8</f>
        <v>0</v>
      </c>
      <c r="I22" s="727">
        <f>+landbouw!H8</f>
        <v>0</v>
      </c>
      <c r="J22" s="727">
        <f>+landbouw!I8</f>
        <v>0</v>
      </c>
      <c r="K22" s="727">
        <f>+landbouw!J8</f>
        <v>11.001383145806674</v>
      </c>
      <c r="L22" s="727">
        <f>+landbouw!K8</f>
        <v>0</v>
      </c>
      <c r="M22" s="727">
        <f>+landbouw!L8</f>
        <v>0</v>
      </c>
      <c r="N22" s="727">
        <f>+landbouw!M8</f>
        <v>0</v>
      </c>
      <c r="O22" s="727">
        <f>+landbouw!N8</f>
        <v>0</v>
      </c>
      <c r="P22" s="727">
        <f>+landbouw!O8</f>
        <v>0</v>
      </c>
      <c r="Q22" s="728">
        <f>+landbouw!P8</f>
        <v>0</v>
      </c>
      <c r="R22" s="729">
        <f>SUM(C22:Q22)</f>
        <v>1235.8130516177011</v>
      </c>
      <c r="S22" s="67"/>
    </row>
    <row r="23" spans="1:19" s="474" customFormat="1" ht="17.25" thickTop="1" thickBot="1">
      <c r="A23" s="734" t="s">
        <v>116</v>
      </c>
      <c r="B23" s="864"/>
      <c r="C23" s="735">
        <f ca="1">C20+C15+C22</f>
        <v>15608.486987720438</v>
      </c>
      <c r="D23" s="735">
        <f t="shared" ref="D23:Q23" ca="1" si="2">D20+D15+D22</f>
        <v>0</v>
      </c>
      <c r="E23" s="735">
        <f t="shared" ca="1" si="2"/>
        <v>39644.60650891847</v>
      </c>
      <c r="F23" s="735">
        <f t="shared" si="2"/>
        <v>561.85266958408329</v>
      </c>
      <c r="G23" s="735">
        <f t="shared" ca="1" si="2"/>
        <v>5627.6540184657306</v>
      </c>
      <c r="H23" s="735">
        <f t="shared" si="2"/>
        <v>12012.241690407182</v>
      </c>
      <c r="I23" s="735">
        <f t="shared" si="2"/>
        <v>3760.9768243810213</v>
      </c>
      <c r="J23" s="735">
        <f t="shared" si="2"/>
        <v>0</v>
      </c>
      <c r="K23" s="735">
        <f t="shared" si="2"/>
        <v>12.050766290173128</v>
      </c>
      <c r="L23" s="735">
        <f t="shared" si="2"/>
        <v>0</v>
      </c>
      <c r="M23" s="735">
        <f t="shared" ca="1" si="2"/>
        <v>0</v>
      </c>
      <c r="N23" s="735">
        <f t="shared" si="2"/>
        <v>813.01566794414589</v>
      </c>
      <c r="O23" s="735">
        <f t="shared" ca="1" si="2"/>
        <v>2829.1562038446814</v>
      </c>
      <c r="P23" s="735">
        <f t="shared" si="2"/>
        <v>26.576666666666668</v>
      </c>
      <c r="Q23" s="736">
        <f t="shared" si="2"/>
        <v>38.133333333333333</v>
      </c>
      <c r="R23" s="737">
        <f ca="1">R20+R15+R22</f>
        <v>80934.751337555936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1736.8167004807981</v>
      </c>
      <c r="D36" s="718">
        <f ca="1">tertiair!C20</f>
        <v>0</v>
      </c>
      <c r="E36" s="718">
        <f ca="1">tertiair!D20</f>
        <v>1262.3519994050919</v>
      </c>
      <c r="F36" s="718">
        <f>tertiair!E20</f>
        <v>20.582573741950309</v>
      </c>
      <c r="G36" s="718">
        <f ca="1">tertiair!F20</f>
        <v>348.57257808216451</v>
      </c>
      <c r="H36" s="718">
        <f>tertiair!G20</f>
        <v>0</v>
      </c>
      <c r="I36" s="718">
        <f>tertiair!H20</f>
        <v>0</v>
      </c>
      <c r="J36" s="718">
        <f>tertiair!I20</f>
        <v>0</v>
      </c>
      <c r="K36" s="718">
        <f>tertiair!J20</f>
        <v>5.8974217211256435E-3</v>
      </c>
      <c r="L36" s="718">
        <f>tertiair!K20</f>
        <v>0</v>
      </c>
      <c r="M36" s="718">
        <f ca="1">tertiair!L20</f>
        <v>0</v>
      </c>
      <c r="N36" s="718">
        <f>tertiair!M20</f>
        <v>0</v>
      </c>
      <c r="O36" s="718">
        <f ca="1">tertiair!N20</f>
        <v>0</v>
      </c>
      <c r="P36" s="718">
        <f>tertiair!O20</f>
        <v>0</v>
      </c>
      <c r="Q36" s="828">
        <f>tertiair!P20</f>
        <v>0</v>
      </c>
      <c r="R36" s="917">
        <f ca="1">SUM(C36:Q36)</f>
        <v>3368.3297491317262</v>
      </c>
    </row>
    <row r="37" spans="1:18">
      <c r="A37" s="885" t="s">
        <v>225</v>
      </c>
      <c r="B37" s="892"/>
      <c r="C37" s="718">
        <f ca="1">huishoudens!B12</f>
        <v>1575.3407265522139</v>
      </c>
      <c r="D37" s="718">
        <f ca="1">huishoudens!C12</f>
        <v>0</v>
      </c>
      <c r="E37" s="718">
        <f>huishoudens!D12</f>
        <v>6438.8686365111998</v>
      </c>
      <c r="F37" s="718">
        <f>huishoudens!E12</f>
        <v>88.943134404513927</v>
      </c>
      <c r="G37" s="718">
        <f>huishoudens!F12</f>
        <v>1040.9731835117916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9144.1256809797196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76.508957406203209</v>
      </c>
      <c r="D39" s="718">
        <f ca="1">industrie!C22</f>
        <v>0</v>
      </c>
      <c r="E39" s="718">
        <f>industrie!D22</f>
        <v>132.39483595863422</v>
      </c>
      <c r="F39" s="718">
        <f>industrie!E22</f>
        <v>7.7348864752419715</v>
      </c>
      <c r="G39" s="718">
        <f>industrie!F22</f>
        <v>28.574537340188559</v>
      </c>
      <c r="H39" s="718">
        <f>industrie!G22</f>
        <v>0</v>
      </c>
      <c r="I39" s="718">
        <f>industrie!H22</f>
        <v>0</v>
      </c>
      <c r="J39" s="718">
        <f>industrie!I22</f>
        <v>0</v>
      </c>
      <c r="K39" s="718">
        <f>industrie!J22</f>
        <v>0.36558421138459879</v>
      </c>
      <c r="L39" s="718">
        <f>industrie!K22</f>
        <v>0</v>
      </c>
      <c r="M39" s="718">
        <f>industrie!L22</f>
        <v>0</v>
      </c>
      <c r="N39" s="718">
        <f>industrie!M22</f>
        <v>0</v>
      </c>
      <c r="O39" s="718">
        <f>industrie!N22</f>
        <v>0</v>
      </c>
      <c r="P39" s="718">
        <f>industrie!O22</f>
        <v>0</v>
      </c>
      <c r="Q39" s="828">
        <f>industrie!P22</f>
        <v>0</v>
      </c>
      <c r="R39" s="918">
        <f ca="1">SUM(C39:Q39)</f>
        <v>245.57880139165258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3388.6663844392151</v>
      </c>
      <c r="D41" s="763">
        <f t="shared" ref="D41:R41" ca="1" si="4">SUM(D35:D40)</f>
        <v>0</v>
      </c>
      <c r="E41" s="763">
        <f t="shared" ca="1" si="4"/>
        <v>7833.6154718749258</v>
      </c>
      <c r="F41" s="763">
        <f t="shared" si="4"/>
        <v>117.26059462170622</v>
      </c>
      <c r="G41" s="763">
        <f t="shared" ca="1" si="4"/>
        <v>1418.1202989341446</v>
      </c>
      <c r="H41" s="763">
        <f t="shared" si="4"/>
        <v>0</v>
      </c>
      <c r="I41" s="763">
        <f t="shared" si="4"/>
        <v>0</v>
      </c>
      <c r="J41" s="763">
        <f t="shared" si="4"/>
        <v>0</v>
      </c>
      <c r="K41" s="763">
        <f t="shared" si="4"/>
        <v>0.37148163310572441</v>
      </c>
      <c r="L41" s="763">
        <f t="shared" si="4"/>
        <v>0</v>
      </c>
      <c r="M41" s="763">
        <f t="shared" ca="1" si="4"/>
        <v>0</v>
      </c>
      <c r="N41" s="763">
        <f t="shared" si="4"/>
        <v>0</v>
      </c>
      <c r="O41" s="763">
        <f t="shared" ca="1" si="4"/>
        <v>0</v>
      </c>
      <c r="P41" s="763">
        <f t="shared" si="4"/>
        <v>0</v>
      </c>
      <c r="Q41" s="764">
        <f t="shared" si="4"/>
        <v>0</v>
      </c>
      <c r="R41" s="765">
        <f t="shared" ca="1" si="4"/>
        <v>12758.034231503098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68.736957892188443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68.736957892188443</v>
      </c>
    </row>
    <row r="45" spans="1:18" ht="15" thickBot="1">
      <c r="A45" s="888" t="s">
        <v>307</v>
      </c>
      <c r="B45" s="898"/>
      <c r="C45" s="727">
        <f ca="1">transport!B18</f>
        <v>1.392665478294993</v>
      </c>
      <c r="D45" s="727">
        <f>transport!C18</f>
        <v>0</v>
      </c>
      <c r="E45" s="727">
        <f>transport!D18</f>
        <v>6.8739501547127624</v>
      </c>
      <c r="F45" s="727">
        <f>transport!E18</f>
        <v>9.7733046040070253</v>
      </c>
      <c r="G45" s="727">
        <f>transport!F18</f>
        <v>0</v>
      </c>
      <c r="H45" s="727">
        <f>transport!G18</f>
        <v>3138.5315734465294</v>
      </c>
      <c r="I45" s="727">
        <f>transport!H18</f>
        <v>936.48322927087429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4093.0547229544186</v>
      </c>
    </row>
    <row r="46" spans="1:18" ht="15.75" thickBot="1">
      <c r="A46" s="886" t="s">
        <v>230</v>
      </c>
      <c r="B46" s="899"/>
      <c r="C46" s="763">
        <f t="shared" ref="C46:R46" ca="1" si="5">SUM(C43:C45)</f>
        <v>1.392665478294993</v>
      </c>
      <c r="D46" s="763">
        <f t="shared" ca="1" si="5"/>
        <v>0</v>
      </c>
      <c r="E46" s="763">
        <f t="shared" si="5"/>
        <v>6.8739501547127624</v>
      </c>
      <c r="F46" s="763">
        <f t="shared" si="5"/>
        <v>9.7733046040070253</v>
      </c>
      <c r="G46" s="763">
        <f t="shared" si="5"/>
        <v>0</v>
      </c>
      <c r="H46" s="763">
        <f t="shared" si="5"/>
        <v>3207.2685313387178</v>
      </c>
      <c r="I46" s="763">
        <f t="shared" si="5"/>
        <v>936.48322927087429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4161.7916808466071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16.573251791784561</v>
      </c>
      <c r="D48" s="718">
        <f ca="1">+landbouw!C12</f>
        <v>0</v>
      </c>
      <c r="E48" s="718">
        <f>+landbouw!D12</f>
        <v>167.72109277189244</v>
      </c>
      <c r="F48" s="718">
        <f>+landbouw!E12</f>
        <v>0.50665676987370767</v>
      </c>
      <c r="G48" s="718">
        <f>+landbouw!F12</f>
        <v>84.463323996205744</v>
      </c>
      <c r="H48" s="718">
        <f>+landbouw!G12</f>
        <v>0</v>
      </c>
      <c r="I48" s="718">
        <f>+landbouw!H12</f>
        <v>0</v>
      </c>
      <c r="J48" s="718">
        <f>+landbouw!I12</f>
        <v>0</v>
      </c>
      <c r="K48" s="718">
        <f>+landbouw!J12</f>
        <v>3.8944896336155623</v>
      </c>
      <c r="L48" s="718">
        <f>+landbouw!K12</f>
        <v>0</v>
      </c>
      <c r="M48" s="718">
        <f>+landbouw!L12</f>
        <v>0</v>
      </c>
      <c r="N48" s="718">
        <f>+landbouw!M12</f>
        <v>0</v>
      </c>
      <c r="O48" s="718">
        <f>+landbouw!N12</f>
        <v>0</v>
      </c>
      <c r="P48" s="718">
        <f>+landbouw!O12</f>
        <v>0</v>
      </c>
      <c r="Q48" s="719">
        <f>+landbouw!P12</f>
        <v>0</v>
      </c>
      <c r="R48" s="761">
        <f ca="1">SUM(C48:Q48)</f>
        <v>273.15881496337198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3406.6323017092946</v>
      </c>
      <c r="D53" s="773">
        <f t="shared" ref="D53:Q53" ca="1" si="6">D41+D46+D48</f>
        <v>0</v>
      </c>
      <c r="E53" s="773">
        <f t="shared" ca="1" si="6"/>
        <v>8008.2105148015307</v>
      </c>
      <c r="F53" s="773">
        <f t="shared" si="6"/>
        <v>127.54055599558696</v>
      </c>
      <c r="G53" s="773">
        <f t="shared" ca="1" si="6"/>
        <v>1502.5836229303502</v>
      </c>
      <c r="H53" s="773">
        <f t="shared" si="6"/>
        <v>3207.2685313387178</v>
      </c>
      <c r="I53" s="773">
        <f t="shared" si="6"/>
        <v>936.48322927087429</v>
      </c>
      <c r="J53" s="773">
        <f t="shared" si="6"/>
        <v>0</v>
      </c>
      <c r="K53" s="773">
        <f t="shared" si="6"/>
        <v>4.2659712667212863</v>
      </c>
      <c r="L53" s="773">
        <f t="shared" si="6"/>
        <v>0</v>
      </c>
      <c r="M53" s="773">
        <f t="shared" ca="1" si="6"/>
        <v>0</v>
      </c>
      <c r="N53" s="773">
        <f t="shared" si="6"/>
        <v>0</v>
      </c>
      <c r="O53" s="773">
        <f t="shared" ca="1" si="6"/>
        <v>0</v>
      </c>
      <c r="P53" s="773">
        <f>P41+P46+P48</f>
        <v>0</v>
      </c>
      <c r="Q53" s="774">
        <f t="shared" si="6"/>
        <v>0</v>
      </c>
      <c r="R53" s="775">
        <f ca="1">R41+R46+R48</f>
        <v>17192.984727313076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0.21825512648275081</v>
      </c>
      <c r="D55" s="836">
        <f t="shared" ca="1" si="7"/>
        <v>0</v>
      </c>
      <c r="E55" s="836">
        <f t="shared" ca="1" si="7"/>
        <v>0.20199999999999999</v>
      </c>
      <c r="F55" s="836">
        <f t="shared" si="7"/>
        <v>0.22700000000000009</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193.86118813086878</v>
      </c>
      <c r="C66" s="795">
        <f>'lokale energieproductie'!B6</f>
        <v>193.86118813086878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193.86118813086878</v>
      </c>
      <c r="C69" s="803">
        <f>SUM(C64:C68)</f>
        <v>193.86118813086878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7217.886479641139</v>
      </c>
      <c r="C4" s="478">
        <f>huishoudens!C8</f>
        <v>0</v>
      </c>
      <c r="D4" s="478">
        <f>huishoudens!D8</f>
        <v>31875.587309461382</v>
      </c>
      <c r="E4" s="478">
        <f>huishoudens!E8</f>
        <v>391.8199753502816</v>
      </c>
      <c r="F4" s="478">
        <f>huishoudens!F8</f>
        <v>3898.7759682089568</v>
      </c>
      <c r="G4" s="478">
        <f>huishoudens!G8</f>
        <v>0</v>
      </c>
      <c r="H4" s="478">
        <f>huishoudens!H8</f>
        <v>0</v>
      </c>
      <c r="I4" s="478">
        <f>huishoudens!I8</f>
        <v>0</v>
      </c>
      <c r="J4" s="478">
        <f>huishoudens!J8</f>
        <v>0</v>
      </c>
      <c r="K4" s="478">
        <f>huishoudens!K8</f>
        <v>0</v>
      </c>
      <c r="L4" s="478">
        <f>huishoudens!L8</f>
        <v>0</v>
      </c>
      <c r="M4" s="478">
        <f>huishoudens!M8</f>
        <v>0</v>
      </c>
      <c r="N4" s="478">
        <f>huishoudens!N8</f>
        <v>2077.1352084193823</v>
      </c>
      <c r="O4" s="478">
        <f>huishoudens!O8</f>
        <v>25.013333333333335</v>
      </c>
      <c r="P4" s="479">
        <f>huishoudens!P8</f>
        <v>38.133333333333333</v>
      </c>
      <c r="Q4" s="480">
        <f>SUM(B4:P4)</f>
        <v>45524.351607747813</v>
      </c>
    </row>
    <row r="5" spans="1:17">
      <c r="A5" s="477" t="s">
        <v>156</v>
      </c>
      <c r="B5" s="478">
        <f ca="1">tertiair!B16</f>
        <v>7654.0011066845882</v>
      </c>
      <c r="C5" s="478">
        <f ca="1">tertiair!C16</f>
        <v>0</v>
      </c>
      <c r="D5" s="478">
        <f ca="1">tertiair!D16</f>
        <v>6249.2673237875833</v>
      </c>
      <c r="E5" s="478">
        <f>tertiair!E16</f>
        <v>90.67213102180753</v>
      </c>
      <c r="F5" s="478">
        <f ca="1">tertiair!F16</f>
        <v>1305.5152737159719</v>
      </c>
      <c r="G5" s="478">
        <f>tertiair!G16</f>
        <v>0</v>
      </c>
      <c r="H5" s="478">
        <f>tertiair!H16</f>
        <v>0</v>
      </c>
      <c r="I5" s="478">
        <f>tertiair!I16</f>
        <v>0</v>
      </c>
      <c r="J5" s="478">
        <f>tertiair!J16</f>
        <v>1.6659383393010294E-2</v>
      </c>
      <c r="K5" s="478">
        <f>tertiair!K16</f>
        <v>0</v>
      </c>
      <c r="L5" s="478">
        <f ca="1">tertiair!L16</f>
        <v>0</v>
      </c>
      <c r="M5" s="478">
        <f>tertiair!M16</f>
        <v>0</v>
      </c>
      <c r="N5" s="478">
        <f ca="1">tertiair!N16</f>
        <v>666.80121963089618</v>
      </c>
      <c r="O5" s="478">
        <f>tertiair!O16</f>
        <v>1.5633333333333335</v>
      </c>
      <c r="P5" s="479">
        <f>tertiair!P16</f>
        <v>0</v>
      </c>
      <c r="Q5" s="477">
        <f t="shared" ref="Q5:Q13" ca="1" si="0">SUM(B5:P5)</f>
        <v>15967.837047557572</v>
      </c>
    </row>
    <row r="6" spans="1:17">
      <c r="A6" s="477" t="s">
        <v>194</v>
      </c>
      <c r="B6" s="478">
        <f>'openbare verlichting'!B8</f>
        <v>303.73500000000001</v>
      </c>
      <c r="C6" s="478"/>
      <c r="D6" s="478"/>
      <c r="E6" s="478"/>
      <c r="F6" s="478"/>
      <c r="G6" s="478"/>
      <c r="H6" s="478"/>
      <c r="I6" s="478"/>
      <c r="J6" s="478"/>
      <c r="K6" s="478"/>
      <c r="L6" s="478"/>
      <c r="M6" s="478"/>
      <c r="N6" s="478"/>
      <c r="O6" s="478"/>
      <c r="P6" s="479"/>
      <c r="Q6" s="477">
        <f t="shared" si="0"/>
        <v>303.73500000000001</v>
      </c>
    </row>
    <row r="7" spans="1:17">
      <c r="A7" s="477" t="s">
        <v>112</v>
      </c>
      <c r="B7" s="478">
        <f>landbouw!B8</f>
        <v>75.935223418884405</v>
      </c>
      <c r="C7" s="478">
        <f>landbouw!C8</f>
        <v>0</v>
      </c>
      <c r="D7" s="478">
        <f>landbouw!D8</f>
        <v>830.30243946481403</v>
      </c>
      <c r="E7" s="478">
        <f>landbouw!E8</f>
        <v>2.2319681492233818</v>
      </c>
      <c r="F7" s="478">
        <f>landbouw!F8</f>
        <v>316.3420374389728</v>
      </c>
      <c r="G7" s="478">
        <f>landbouw!G8</f>
        <v>0</v>
      </c>
      <c r="H7" s="478">
        <f>landbouw!H8</f>
        <v>0</v>
      </c>
      <c r="I7" s="478">
        <f>landbouw!I8</f>
        <v>0</v>
      </c>
      <c r="J7" s="478">
        <f>landbouw!J8</f>
        <v>11.001383145806674</v>
      </c>
      <c r="K7" s="478">
        <f>landbouw!K8</f>
        <v>0</v>
      </c>
      <c r="L7" s="478">
        <f>landbouw!L8</f>
        <v>0</v>
      </c>
      <c r="M7" s="478">
        <f>landbouw!M8</f>
        <v>0</v>
      </c>
      <c r="N7" s="478">
        <f>landbouw!N8</f>
        <v>0</v>
      </c>
      <c r="O7" s="478">
        <f>landbouw!O8</f>
        <v>0</v>
      </c>
      <c r="P7" s="479">
        <f>landbouw!P8</f>
        <v>0</v>
      </c>
      <c r="Q7" s="477">
        <f t="shared" si="0"/>
        <v>1235.8130516177011</v>
      </c>
    </row>
    <row r="8" spans="1:17">
      <c r="A8" s="477" t="s">
        <v>635</v>
      </c>
      <c r="B8" s="478">
        <f>industrie!B18</f>
        <v>350.54827182833606</v>
      </c>
      <c r="C8" s="478">
        <f>industrie!C18</f>
        <v>0</v>
      </c>
      <c r="D8" s="478">
        <f>industrie!D18</f>
        <v>655.41997999323871</v>
      </c>
      <c r="E8" s="478">
        <f>industrie!E18</f>
        <v>34.074389758775204</v>
      </c>
      <c r="F8" s="478">
        <f>industrie!F18</f>
        <v>107.0207391018298</v>
      </c>
      <c r="G8" s="478">
        <f>industrie!G18</f>
        <v>0</v>
      </c>
      <c r="H8" s="478">
        <f>industrie!H18</f>
        <v>0</v>
      </c>
      <c r="I8" s="478">
        <f>industrie!I18</f>
        <v>0</v>
      </c>
      <c r="J8" s="478">
        <f>industrie!J18</f>
        <v>1.032723760973443</v>
      </c>
      <c r="K8" s="478">
        <f>industrie!K18</f>
        <v>0</v>
      </c>
      <c r="L8" s="478">
        <f>industrie!L18</f>
        <v>0</v>
      </c>
      <c r="M8" s="478">
        <f>industrie!M18</f>
        <v>0</v>
      </c>
      <c r="N8" s="478">
        <f>industrie!N18</f>
        <v>85.219775794402608</v>
      </c>
      <c r="O8" s="478">
        <f>industrie!O18</f>
        <v>0</v>
      </c>
      <c r="P8" s="479">
        <f>industrie!P18</f>
        <v>0</v>
      </c>
      <c r="Q8" s="477">
        <f t="shared" si="0"/>
        <v>1233.3158802375556</v>
      </c>
    </row>
    <row r="9" spans="1:17" s="483" customFormat="1">
      <c r="A9" s="481" t="s">
        <v>561</v>
      </c>
      <c r="B9" s="482">
        <f>transport!B14</f>
        <v>6.3809061474900028</v>
      </c>
      <c r="C9" s="482"/>
      <c r="D9" s="482">
        <f>transport!D14</f>
        <v>34.029456211449315</v>
      </c>
      <c r="E9" s="482">
        <f>transport!E14</f>
        <v>43.054205303995701</v>
      </c>
      <c r="F9" s="482"/>
      <c r="G9" s="482">
        <f>transport!G14</f>
        <v>11754.799900548798</v>
      </c>
      <c r="H9" s="482">
        <f>transport!H14</f>
        <v>3760.9768243810213</v>
      </c>
      <c r="I9" s="482"/>
      <c r="J9" s="482"/>
      <c r="K9" s="482"/>
      <c r="L9" s="482"/>
      <c r="M9" s="482">
        <f>transport!M14</f>
        <v>798.39411077663556</v>
      </c>
      <c r="N9" s="482"/>
      <c r="O9" s="482"/>
      <c r="P9" s="482"/>
      <c r="Q9" s="481">
        <f>SUM(B9:P9)</f>
        <v>16397.63540336939</v>
      </c>
    </row>
    <row r="10" spans="1:17">
      <c r="A10" s="477" t="s">
        <v>551</v>
      </c>
      <c r="B10" s="478">
        <f>transport!B54</f>
        <v>0</v>
      </c>
      <c r="C10" s="478"/>
      <c r="D10" s="478">
        <f>transport!D54</f>
        <v>0</v>
      </c>
      <c r="E10" s="478"/>
      <c r="F10" s="478"/>
      <c r="G10" s="478">
        <f>transport!G54</f>
        <v>257.44178985838369</v>
      </c>
      <c r="H10" s="478"/>
      <c r="I10" s="478"/>
      <c r="J10" s="478"/>
      <c r="K10" s="478"/>
      <c r="L10" s="478"/>
      <c r="M10" s="478">
        <f>transport!M54</f>
        <v>14.621557167510286</v>
      </c>
      <c r="N10" s="478"/>
      <c r="O10" s="478"/>
      <c r="P10" s="479"/>
      <c r="Q10" s="477">
        <f t="shared" si="0"/>
        <v>272.06334702589396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15608.486987720438</v>
      </c>
      <c r="C14" s="488">
        <f t="shared" ref="C14:Q14" ca="1" si="1">SUM(C4:C13)</f>
        <v>0</v>
      </c>
      <c r="D14" s="488">
        <f t="shared" ca="1" si="1"/>
        <v>39644.60650891847</v>
      </c>
      <c r="E14" s="488">
        <f t="shared" si="1"/>
        <v>561.8526695840834</v>
      </c>
      <c r="F14" s="488">
        <f t="shared" ca="1" si="1"/>
        <v>5627.6540184657315</v>
      </c>
      <c r="G14" s="488">
        <f t="shared" si="1"/>
        <v>12012.241690407182</v>
      </c>
      <c r="H14" s="488">
        <f t="shared" si="1"/>
        <v>3760.9768243810213</v>
      </c>
      <c r="I14" s="488">
        <f t="shared" si="1"/>
        <v>0</v>
      </c>
      <c r="J14" s="488">
        <f t="shared" si="1"/>
        <v>12.050766290173128</v>
      </c>
      <c r="K14" s="488">
        <f t="shared" si="1"/>
        <v>0</v>
      </c>
      <c r="L14" s="488">
        <f t="shared" ca="1" si="1"/>
        <v>0</v>
      </c>
      <c r="M14" s="488">
        <f t="shared" si="1"/>
        <v>813.01566794414589</v>
      </c>
      <c r="N14" s="488">
        <f t="shared" ca="1" si="1"/>
        <v>2829.1562038446814</v>
      </c>
      <c r="O14" s="488">
        <f t="shared" si="1"/>
        <v>26.576666666666668</v>
      </c>
      <c r="P14" s="489">
        <f t="shared" si="1"/>
        <v>38.133333333333333</v>
      </c>
      <c r="Q14" s="489">
        <f t="shared" ca="1" si="1"/>
        <v>80934.751337555921</v>
      </c>
    </row>
    <row r="16" spans="1:17">
      <c r="A16" s="491" t="s">
        <v>556</v>
      </c>
      <c r="B16" s="841">
        <f ca="1">huishoudens!B10</f>
        <v>0.21825512648275083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1575.3407265522139</v>
      </c>
      <c r="C21" s="478">
        <f t="shared" ref="C21:C28" ca="1" si="3">C4*$C$16</f>
        <v>0</v>
      </c>
      <c r="D21" s="478">
        <f t="shared" ref="D21:D30" si="4">D4*$D$16</f>
        <v>6438.8686365111998</v>
      </c>
      <c r="E21" s="478">
        <f t="shared" ref="E21:E30" si="5">E4*$E$16</f>
        <v>88.943134404513927</v>
      </c>
      <c r="F21" s="478">
        <f t="shared" ref="F21:F28" si="6">F4*$F$16</f>
        <v>1040.9731835117916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9144.1256809797196</v>
      </c>
    </row>
    <row r="22" spans="1:17">
      <c r="A22" s="477" t="s">
        <v>156</v>
      </c>
      <c r="B22" s="478">
        <f t="shared" ca="1" si="2"/>
        <v>1670.5249796385597</v>
      </c>
      <c r="C22" s="478">
        <f t="shared" ca="1" si="3"/>
        <v>0</v>
      </c>
      <c r="D22" s="478">
        <f t="shared" ca="1" si="4"/>
        <v>1262.3519994050919</v>
      </c>
      <c r="E22" s="478">
        <f t="shared" si="5"/>
        <v>20.582573741950309</v>
      </c>
      <c r="F22" s="478">
        <f t="shared" ca="1" si="6"/>
        <v>348.57257808216451</v>
      </c>
      <c r="G22" s="478">
        <f t="shared" si="7"/>
        <v>0</v>
      </c>
      <c r="H22" s="478">
        <f t="shared" si="8"/>
        <v>0</v>
      </c>
      <c r="I22" s="478">
        <f t="shared" si="9"/>
        <v>0</v>
      </c>
      <c r="J22" s="478">
        <f t="shared" si="10"/>
        <v>5.8974217211256435E-3</v>
      </c>
      <c r="K22" s="478">
        <f t="shared" si="11"/>
        <v>0</v>
      </c>
      <c r="L22" s="478">
        <f t="shared" ca="1" si="12"/>
        <v>0</v>
      </c>
      <c r="M22" s="478">
        <f t="shared" si="13"/>
        <v>0</v>
      </c>
      <c r="N22" s="478">
        <f t="shared" ca="1" si="14"/>
        <v>0</v>
      </c>
      <c r="O22" s="478">
        <f t="shared" si="15"/>
        <v>0</v>
      </c>
      <c r="P22" s="479">
        <f t="shared" si="16"/>
        <v>0</v>
      </c>
      <c r="Q22" s="477">
        <f t="shared" ref="Q22:Q30" ca="1" si="17">SUM(B22:P22)</f>
        <v>3302.038028289488</v>
      </c>
    </row>
    <row r="23" spans="1:17">
      <c r="A23" s="477" t="s">
        <v>194</v>
      </c>
      <c r="B23" s="478">
        <f t="shared" ca="1" si="2"/>
        <v>66.291720842238334</v>
      </c>
      <c r="C23" s="478"/>
      <c r="D23" s="478"/>
      <c r="E23" s="478"/>
      <c r="F23" s="478"/>
      <c r="G23" s="478"/>
      <c r="H23" s="478"/>
      <c r="I23" s="478"/>
      <c r="J23" s="478"/>
      <c r="K23" s="478"/>
      <c r="L23" s="478"/>
      <c r="M23" s="478"/>
      <c r="N23" s="478"/>
      <c r="O23" s="478"/>
      <c r="P23" s="479"/>
      <c r="Q23" s="477">
        <f t="shared" ca="1" si="17"/>
        <v>66.291720842238334</v>
      </c>
    </row>
    <row r="24" spans="1:17">
      <c r="A24" s="477" t="s">
        <v>112</v>
      </c>
      <c r="B24" s="478">
        <f t="shared" ca="1" si="2"/>
        <v>16.573251791784561</v>
      </c>
      <c r="C24" s="478">
        <f t="shared" ca="1" si="3"/>
        <v>0</v>
      </c>
      <c r="D24" s="478">
        <f t="shared" si="4"/>
        <v>167.72109277189244</v>
      </c>
      <c r="E24" s="478">
        <f t="shared" si="5"/>
        <v>0.50665676987370767</v>
      </c>
      <c r="F24" s="478">
        <f t="shared" si="6"/>
        <v>84.463323996205744</v>
      </c>
      <c r="G24" s="478">
        <f t="shared" si="7"/>
        <v>0</v>
      </c>
      <c r="H24" s="478">
        <f t="shared" si="8"/>
        <v>0</v>
      </c>
      <c r="I24" s="478">
        <f t="shared" si="9"/>
        <v>0</v>
      </c>
      <c r="J24" s="478">
        <f t="shared" si="10"/>
        <v>3.8944896336155623</v>
      </c>
      <c r="K24" s="478">
        <f t="shared" si="11"/>
        <v>0</v>
      </c>
      <c r="L24" s="478">
        <f t="shared" si="12"/>
        <v>0</v>
      </c>
      <c r="M24" s="478">
        <f t="shared" si="13"/>
        <v>0</v>
      </c>
      <c r="N24" s="478">
        <f t="shared" si="14"/>
        <v>0</v>
      </c>
      <c r="O24" s="478">
        <f t="shared" si="15"/>
        <v>0</v>
      </c>
      <c r="P24" s="479">
        <f t="shared" si="16"/>
        <v>0</v>
      </c>
      <c r="Q24" s="477">
        <f t="shared" ca="1" si="17"/>
        <v>273.15881496337198</v>
      </c>
    </row>
    <row r="25" spans="1:17">
      <c r="A25" s="477" t="s">
        <v>635</v>
      </c>
      <c r="B25" s="478">
        <f t="shared" ca="1" si="2"/>
        <v>76.508957406203209</v>
      </c>
      <c r="C25" s="478">
        <f t="shared" ca="1" si="3"/>
        <v>0</v>
      </c>
      <c r="D25" s="478">
        <f t="shared" si="4"/>
        <v>132.39483595863422</v>
      </c>
      <c r="E25" s="478">
        <f t="shared" si="5"/>
        <v>7.7348864752419715</v>
      </c>
      <c r="F25" s="478">
        <f t="shared" si="6"/>
        <v>28.574537340188559</v>
      </c>
      <c r="G25" s="478">
        <f t="shared" si="7"/>
        <v>0</v>
      </c>
      <c r="H25" s="478">
        <f t="shared" si="8"/>
        <v>0</v>
      </c>
      <c r="I25" s="478">
        <f t="shared" si="9"/>
        <v>0</v>
      </c>
      <c r="J25" s="478">
        <f t="shared" si="10"/>
        <v>0.36558421138459879</v>
      </c>
      <c r="K25" s="478">
        <f t="shared" si="11"/>
        <v>0</v>
      </c>
      <c r="L25" s="478">
        <f t="shared" si="12"/>
        <v>0</v>
      </c>
      <c r="M25" s="478">
        <f t="shared" si="13"/>
        <v>0</v>
      </c>
      <c r="N25" s="478">
        <f t="shared" si="14"/>
        <v>0</v>
      </c>
      <c r="O25" s="478">
        <f t="shared" si="15"/>
        <v>0</v>
      </c>
      <c r="P25" s="479">
        <f t="shared" si="16"/>
        <v>0</v>
      </c>
      <c r="Q25" s="477">
        <f t="shared" ca="1" si="17"/>
        <v>245.57880139165258</v>
      </c>
    </row>
    <row r="26" spans="1:17" s="483" customFormat="1">
      <c r="A26" s="481" t="s">
        <v>561</v>
      </c>
      <c r="B26" s="835">
        <f t="shared" ca="1" si="2"/>
        <v>1.392665478294993</v>
      </c>
      <c r="C26" s="482"/>
      <c r="D26" s="482">
        <f t="shared" si="4"/>
        <v>6.8739501547127624</v>
      </c>
      <c r="E26" s="482">
        <f t="shared" si="5"/>
        <v>9.7733046040070253</v>
      </c>
      <c r="F26" s="482"/>
      <c r="G26" s="482">
        <f t="shared" si="7"/>
        <v>3138.5315734465294</v>
      </c>
      <c r="H26" s="482">
        <f t="shared" si="8"/>
        <v>936.48322927087429</v>
      </c>
      <c r="I26" s="482"/>
      <c r="J26" s="482"/>
      <c r="K26" s="482"/>
      <c r="L26" s="482"/>
      <c r="M26" s="482">
        <f t="shared" si="13"/>
        <v>0</v>
      </c>
      <c r="N26" s="482"/>
      <c r="O26" s="482"/>
      <c r="P26" s="493"/>
      <c r="Q26" s="481">
        <f t="shared" ca="1" si="17"/>
        <v>4093.0547229544186</v>
      </c>
    </row>
    <row r="27" spans="1:17">
      <c r="A27" s="477" t="s">
        <v>551</v>
      </c>
      <c r="B27" s="478">
        <f t="shared" ca="1" si="2"/>
        <v>0</v>
      </c>
      <c r="C27" s="478"/>
      <c r="D27" s="482">
        <f t="shared" si="4"/>
        <v>0</v>
      </c>
      <c r="E27" s="478"/>
      <c r="F27" s="478"/>
      <c r="G27" s="478">
        <f t="shared" si="7"/>
        <v>68.736957892188443</v>
      </c>
      <c r="H27" s="478"/>
      <c r="I27" s="478"/>
      <c r="J27" s="478"/>
      <c r="K27" s="478"/>
      <c r="L27" s="478"/>
      <c r="M27" s="478">
        <f t="shared" si="13"/>
        <v>0</v>
      </c>
      <c r="N27" s="478"/>
      <c r="O27" s="478"/>
      <c r="P27" s="479"/>
      <c r="Q27" s="477">
        <f t="shared" ca="1" si="17"/>
        <v>68.736957892188443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3406.6323017092941</v>
      </c>
      <c r="C31" s="488">
        <f t="shared" ca="1" si="18"/>
        <v>0</v>
      </c>
      <c r="D31" s="488">
        <f t="shared" ca="1" si="18"/>
        <v>8008.2105148015307</v>
      </c>
      <c r="E31" s="488">
        <f t="shared" si="18"/>
        <v>127.54055599558694</v>
      </c>
      <c r="F31" s="488">
        <f t="shared" ca="1" si="18"/>
        <v>1502.5836229303502</v>
      </c>
      <c r="G31" s="488">
        <f t="shared" si="18"/>
        <v>3207.2685313387178</v>
      </c>
      <c r="H31" s="488">
        <f t="shared" si="18"/>
        <v>936.48322927087429</v>
      </c>
      <c r="I31" s="488">
        <f t="shared" si="18"/>
        <v>0</v>
      </c>
      <c r="J31" s="488">
        <f t="shared" si="18"/>
        <v>4.2659712667212863</v>
      </c>
      <c r="K31" s="488">
        <f t="shared" si="18"/>
        <v>0</v>
      </c>
      <c r="L31" s="488">
        <f t="shared" ca="1" si="18"/>
        <v>0</v>
      </c>
      <c r="M31" s="488">
        <f t="shared" si="18"/>
        <v>0</v>
      </c>
      <c r="N31" s="488">
        <f t="shared" ca="1" si="18"/>
        <v>0</v>
      </c>
      <c r="O31" s="488">
        <f t="shared" si="18"/>
        <v>0</v>
      </c>
      <c r="P31" s="489">
        <f t="shared" si="18"/>
        <v>0</v>
      </c>
      <c r="Q31" s="489">
        <f t="shared" ca="1" si="18"/>
        <v>17192.984727313076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0.21825512648275083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0.21825512648275083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0.21825512648275083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2019-01-01T21:18:27Z</dcterms:modified>
</cp:coreProperties>
</file>