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J15" i="16"/>
  <c r="C13" i="15"/>
  <c r="C16" s="1"/>
  <c r="D10" i="14" s="1"/>
  <c r="L6" i="17"/>
  <c r="L5" s="1"/>
  <c r="O4" i="48"/>
  <c r="E16"/>
  <c r="I16"/>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14" i="48" l="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0" i="17" l="1"/>
  <c r="C12" s="1"/>
  <c r="D48" i="14" s="1"/>
  <c r="C56" i="22"/>
  <c r="C58" s="1"/>
  <c r="D44" i="14" s="1"/>
  <c r="D46" s="1"/>
  <c r="C18" i="15"/>
  <c r="C20" s="1"/>
  <c r="D36" i="14" s="1"/>
  <c r="C16" i="22"/>
  <c r="C17" i="49"/>
  <c r="C17" i="19"/>
  <c r="C19" s="1"/>
  <c r="D35" i="14" s="1"/>
  <c r="C10" i="13"/>
  <c r="C29" i="20"/>
  <c r="C20" i="16"/>
  <c r="C22" s="1"/>
  <c r="D39" i="14" s="1"/>
  <c r="C16" i="48"/>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25" i="48"/>
  <c r="F31" s="1"/>
  <c r="F14"/>
  <c r="E14" l="1"/>
  <c r="D41" i="14"/>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<sst xmlns="http://schemas.openxmlformats.org/spreadsheetml/2006/main" count="2117" uniqueCount="854">
  <si>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</si>
  <si>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</si>
  <si>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</si>
  <si>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</si>
  <si>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</si>
  <si>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</si>
  <si>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</si>
  <si>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</si>
  <si>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</si>
  <si>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</si>
  <si>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</si>
  <si>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</si>
  <si>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</si>
  <si>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</si>
  <si>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</si>
  <si>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</si>
  <si>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</si>
  <si>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</si>
  <si>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</si>
  <si>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</si>
  <si>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</si>
  <si>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</si>
  <si>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</si>
  <si>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</si>
  <si>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</si>
  <si>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</si>
  <si>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</si>
  <si>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</si>
  <si>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</si>
  <si>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</si>
  <si>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</si>
  <si>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</si>
  <si>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</si>
  <si>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</si>
  <si>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</si>
  <si>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</si>
  <si>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</si>
  <si>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</si>
  <si>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</si>
  <si>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</si>
  <si>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</si>
  <si>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</si>
  <si>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</si>
  <si>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</si>
  <si>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</si>
  <si>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</si>
  <si>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</si>
  <si>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</si>
  <si>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</si>
  <si>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</si>
  <si>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</si>
  <si>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</si>
  <si>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</si>
  <si>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</si>
  <si>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</si>
  <si>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</si>
  <si>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</si>
  <si>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</si>
  <si>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</si>
  <si>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</si>
  <si>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</si>
  <si>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</si>
  <si>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</si>
  <si>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</si>
  <si>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</si>
  <si>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</si>
  <si>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</si>
  <si>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</si>
  <si>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</si>
  <si>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</si>
  <si>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</si>
  <si>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</si>
  <si>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</si>
  <si>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</si>
  <si>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</si>
  <si>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</si>
  <si>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</si>
  <si>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</si>
  <si>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</si>
  <si>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</si>
  <si>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</si>
  <si>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</si>
  <si>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</si>
  <si>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</si>
  <si>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</si>
  <si>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</si>
  <si>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</si>
  <si>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</si>
  <si>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</si>
  <si>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</si>
  <si>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</si>
  <si>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</si>
  <si>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</si>
  <si>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</si>
  <si>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</si>
  <si>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</si>
  <si>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</si>
  <si>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</si>
  <si>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</si>
  <si>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</si>
  <si>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</si>
  <si>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</si>
  <si>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</si>
  <si>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</si>
  <si>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</si>
  <si>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</si>
  <si>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</si>
  <si>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</si>
  <si>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</si>
  <si>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</si>
  <si>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</si>
  <si>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</si>
  <si>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</si>
  <si>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</si>
  <si>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</si>
  <si>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</si>
  <si>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</si>
  <si>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</si>
  <si>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</si>
  <si>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</si>
  <si>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</si>
  <si>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</si>
  <si>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</si>
  <si>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</si>
  <si>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</si>
  <si>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</si>
  <si>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</si>
  <si>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</si>
  <si>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</si>
  <si>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</si>
  <si>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</si>
  <si>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</si>
  <si>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</si>
  <si>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</si>
  <si>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</si>
  <si>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</si>
  <si>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</si>
  <si>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</si>
  <si>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</si>
  <si>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</si>
  <si>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</si>
  <si>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</si>
  <si>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</si>
  <si>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</si>
  <si>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</si>
  <si>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</si>
  <si>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</si>
  <si>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</si>
  <si>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</si>
  <si>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</si>
  <si>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</si>
  <si>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</si>
  <si>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</si>
  <si>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</si>
  <si>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</si>
  <si>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</si>
  <si>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</si>
  <si>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</si>
  <si>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</si>
  <si>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</si>
  <si>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</si>
  <si>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</si>
  <si>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</si>
  <si>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</si>
  <si>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</si>
  <si>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</si>
  <si>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</si>
  <si>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</si>
  <si>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</si>
  <si>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</si>
  <si>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</si>
  <si>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</si>
  <si>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</si>
  <si>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</si>
  <si>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</si>
  <si>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</si>
  <si>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</si>
  <si>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</si>
  <si>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</si>
  <si>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</si>
  <si>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</si>
  <si>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</si>
  <si>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</si>
  <si>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</si>
  <si>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</si>
  <si>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</si>
  <si>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</si>
  <si>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</si>
  <si>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</si>
  <si>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</si>
  <si>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</si>
  <si>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</si>
  <si>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</si>
  <si>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</si>
  <si>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</si>
  <si>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</si>
  <si>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</si>
  <si>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</si>
  <si>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</si>
  <si>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</si>
  <si>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</si>
  <si>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</si>
  <si>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</si>
  <si>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</si>
  <si>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</si>
  <si>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</si>
  <si>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</si>
  <si>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</si>
  <si>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</si>
  <si>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</si>
  <si>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</si>
  <si>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</si>
  <si>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</si>
  <si>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</si>
  <si>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</si>
  <si>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</si>
  <si>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</si>
  <si>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</si>
  <si>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</si>
  <si>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</si>
  <si>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</si>
  <si>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</si>
  <si>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</si>
  <si>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</si>
  <si>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</si>
  <si>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</si>
  <si>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</si>
  <si>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</si>
  <si>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</si>
  <si>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</si>
  <si>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</si>
  <si>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</si>
  <si>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</si>
  <si>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</si>
  <si>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</si>
  <si>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</si>
  <si>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</si>
  <si>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</si>
  <si>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</si>
  <si>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</si>
  <si>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</si>
  <si>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</si>
  <si>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</si>
  <si>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</si>
  <si>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</si>
  <si>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</si>
  <si>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</si>
  <si>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</si>
  <si>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</si>
  <si>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</si>
  <si>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</si>
  <si>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</si>
  <si>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</si>
  <si>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</si>
  <si>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</si>
  <si>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</si>
  <si>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</si>
  <si>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</si>
  <si>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</si>
  <si>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</si>
  <si>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</si>
  <si>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</si>
  <si>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</si>
  <si>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</si>
  <si>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</si>
  <si>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</si>
  <si>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</si>
  <si>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</si>
  <si>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</si>
  <si>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</si>
  <si>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</si>
  <si>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</si>
  <si>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</si>
  <si>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</si>
  <si>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</si>
  <si>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</si>
  <si>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</si>
  <si>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</si>
  <si>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</si>
  <si>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</si>
  <si>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</si>
  <si>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</si>
  <si>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</si>
  <si>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</si>
  <si>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</si>
  <si>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</si>
  <si>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</si>
  <si>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</si>
  <si>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</si>
  <si>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</si>
  <si>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</si>
  <si>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</si>
  <si>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</si>
  <si>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</si>
  <si>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</si>
  <si>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</si>
  <si>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</si>
  <si>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</si>
  <si>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</si>
  <si>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</si>
  <si>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</si>
  <si>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</si>
  <si>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</si>
  <si>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</si>
  <si>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</si>
  <si>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</si>
  <si>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</si>
  <si>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</si>
  <si>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</si>
  <si>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</si>
  <si>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</si>
  <si>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</si>
  <si>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</si>
  <si>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</si>
  <si>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</si>
  <si>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</si>
  <si>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</si>
  <si>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</si>
  <si>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</si>
  <si>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</si>
  <si>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</si>
  <si>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</si>
  <si>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</si>
  <si>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</si>
  <si>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</si>
  <si>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</si>
  <si>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</si>
  <si>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</si>
  <si>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</si>
  <si>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</si>
  <si>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</si>
  <si>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</si>
  <si>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</si>
  <si>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</si>
  <si>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</si>
  <si>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</si>
  <si>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</si>
  <si>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</si>
  <si>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</si>
  <si>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</si>
  <si>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</si>
  <si>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</si>
  <si>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</si>
  <si>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</si>
  <si>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</si>
  <si>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</si>
  <si>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</si>
  <si>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</si>
  <si>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</si>
  <si>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</si>
  <si>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</si>
  <si>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</si>
  <si>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</si>
  <si>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</si>
  <si>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</si>
  <si>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</si>
  <si>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</si>
  <si>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</si>
  <si>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</si>
  <si>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</si>
  <si>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</si>
  <si>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</si>
  <si>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</si>
  <si>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</si>
  <si>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</si>
  <si>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</si>
  <si>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</si>
  <si>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</si>
  <si>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</si>
  <si>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</si>
  <si>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</si>
  <si>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</si>
  <si>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</si>
  <si>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</si>
  <si>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</si>
  <si>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</si>
  <si>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</si>
  <si>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</si>
  <si>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</si>
  <si>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</si>
  <si>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</si>
  <si>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</si>
  <si>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</si>
  <si>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</si>
  <si>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</si>
  <si>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</si>
  <si>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</si>
  <si>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</si>
  <si>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</si>
  <si>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</si>
  <si>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</si>
  <si>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</si>
  <si>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</si>
  <si>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</si>
  <si>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</si>
  <si>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</si>
  <si>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</si>
  <si>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</si>
  <si>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</si>
  <si>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</si>
  <si>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</si>
  <si>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</si>
  <si>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</si>
  <si>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</si>
  <si>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</si>
  <si>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</si>
  <si>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</si>
  <si>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</si>
  <si>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</si>
  <si>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</si>
  <si>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</si>
  <si>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</si>
  <si>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</si>
  <si>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</si>
  <si>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</si>
  <si>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</si>
  <si>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</si>
  <si>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</si>
  <si>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</si>
  <si>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</si>
  <si>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</si>
  <si>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</si>
  <si>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</si>
  <si>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</si>
  <si>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</si>
  <si>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</si>
  <si>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</si>
  <si>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</si>
  <si>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</si>
  <si>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</si>
  <si>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</si>
  <si>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</si>
  <si>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</si>
  <si>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</si>
  <si>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</si>
  <si>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</si>
  <si>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</si>
  <si>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</si>
  <si>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</si>
  <si>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</si>
  <si>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</si>
  <si>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</si>
  <si>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</si>
  <si>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</si>
  <si>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</si>
  <si>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</si>
  <si>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</si>
  <si>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</si>
  <si>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</si>
  <si>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</si>
  <si>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</si>
  <si>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</si>
  <si>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</si>
  <si>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</si>
  <si>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</si>
  <si>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</si>
  <si>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</si>
  <si>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</si>
  <si>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</si>
  <si>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</si>
  <si>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</si>
  <si>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</si>
  <si>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</si>
  <si>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</si>
  <si>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</si>
  <si>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</si>
  <si>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</si>
  <si>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</si>
  <si>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</si>
  <si>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</si>
  <si>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</si>
  <si>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</si>
  <si>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</si>
  <si>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</si>
  <si>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</si>
  <si>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</si>
  <si>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</si>
  <si>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</si>
  <si>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</si>
  <si>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</si>
  <si>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</si>
  <si>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</si>
  <si>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</si>
  <si>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</si>
  <si>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</si>
  <si>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</si>
  <si>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</si>
  <si>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</si>
  <si>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</si>
  <si>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</si>
  <si>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</si>
  <si>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</si>
  <si>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</si>
  <si>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</si>
  <si>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</si>
  <si>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</si>
  <si>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</si>
  <si>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</si>
  <si>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</si>
  <si>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</si>
  <si>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</si>
  <si>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</si>
  <si>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</si>
  <si>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</si>
  <si>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</si>
  <si>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</si>
  <si>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</si>
  <si>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</si>
  <si>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</si>
  <si>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</si>
  <si>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</si>
  <si>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</si>
  <si>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</si>
  <si>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</si>
  <si>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</si>
  <si>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</si>
  <si>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</si>
  <si>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</si>
  <si>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</si>
  <si>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</si>
  <si>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</si>
  <si>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</si>
  <si>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</si>
  <si>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</si>
  <si>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</si>
  <si>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</si>
  <si>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</si>
  <si>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</si>
  <si>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</si>
  <si>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</si>
  <si>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</si>
  <si>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</si>
  <si>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</si>
  <si>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</si>
  <si>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</si>
  <si>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</si>
  <si>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</si>
  <si>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</si>
  <si>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</si>
  <si>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</si>
  <si>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</si>
  <si>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</si>
  <si>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</si>
  <si>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</si>
  <si>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</si>
  <si>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</si>
  <si>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</si>
  <si>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</si>
  <si>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</si>
  <si>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</si>
  <si>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</si>
  <si>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</si>
  <si>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</si>
  <si>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</si>
  <si>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</si>
  <si>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</si>
  <si>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</si>
  <si>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</si>
  <si>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</si>
  <si>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</si>
  <si>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</si>
  <si>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</si>
  <si>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</si>
  <si>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</si>
  <si>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</si>
  <si>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</si>
  <si>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</si>
  <si>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</si>
  <si>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</si>
  <si>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</si>
  <si>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</si>
  <si>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</si>
  <si>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</si>
  <si>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</si>
  <si>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</si>
  <si>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</si>
  <si>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</si>
  <si>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</si>
  <si>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</si>
  <si>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</si>
  <si>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</si>
  <si>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</si>
  <si>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</si>
  <si>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</si>
  <si>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</si>
  <si>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</si>
  <si>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</si>
  <si>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</si>
  <si>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</si>
  <si>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</si>
  <si>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</si>
  <si>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</si>
  <si>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</si>
  <si>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</si>
  <si>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</si>
  <si>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</si>
  <si>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</si>
  <si>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</si>
  <si>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</si>
  <si>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</si>
  <si>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</si>
  <si>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</si>
  <si>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</si>
  <si>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</si>
  <si>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</si>
  <si>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</si>
  <si>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</si>
  <si>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</si>
  <si>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</si>
  <si>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</si>
  <si>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</si>
  <si>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</si>
  <si>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</si>
  <si>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</si>
  <si>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</si>
  <si>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</si>
  <si>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</si>
  <si>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</si>
  <si>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</si>
  <si>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</si>
  <si>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</si>
  <si>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</si>
  <si>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</si>
  <si>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</si>
  <si>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</si>
  <si>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</si>
  <si>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</si>
  <si>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</si>
  <si>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</si>
  <si>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</si>
  <si>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</si>
  <si>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</si>
  <si>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</si>
  <si>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</si>
  <si>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</si>
  <si>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</si>
  <si>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</si>
  <si>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</si>
  <si>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</si>
  <si>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</si>
  <si>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</si>
  <si>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</si>
  <si>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</si>
  <si>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</si>
  <si>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</si>
  <si>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</si>
  <si>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</si>
  <si>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</si>
  <si>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</si>
  <si>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</si>
  <si>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</si>
  <si>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</si>
  <si>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</si>
  <si>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</si>
  <si>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</si>
  <si>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</si>
  <si>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</si>
  <si>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</si>
  <si>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</si>
  <si>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</si>
  <si>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</si>
  <si>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</si>
  <si>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</si>
  <si>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</si>
  <si>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</si>
  <si>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</si>
  <si>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</si>
  <si>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</si>
  <si>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</si>
  <si>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</si>
  <si>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</si>
  <si>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</si>
  <si>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</si>
  <si>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</si>
  <si>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</si>
  <si>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</si>
  <si>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</si>
  <si>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</si>
  <si>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</si>
  <si>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</si>
  <si>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</si>
  <si>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</si>
  <si>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</si>
  <si>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</si>
  <si>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</si>
  <si>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</si>
  <si>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</si>
  <si>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</si>
  <si>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</si>
  <si>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</si>
  <si>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</si>
  <si>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</si>
  <si>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</si>
  <si>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</si>
  <si>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</si>
  <si>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</si>
  <si>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</si>
  <si>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</si>
  <si>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</si>
  <si>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</si>
  <si>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</si>
  <si>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</si>
  <si>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</si>
  <si>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</si>
  <si>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</si>
  <si>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</si>
  <si>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</si>
  <si>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</si>
  <si>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</si>
  <si>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</si>
  <si>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</si>
  <si>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</si>
  <si>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</si>
  <si>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</si>
  <si>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</si>
  <si>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</si>
  <si>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</si>
  <si>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</si>
  <si>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</si>
  <si>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</si>
  <si>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</si>
  <si>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</si>
  <si>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</si>
  <si>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</si>
  <si>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</si>
  <si>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</si>
  <si>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</si>
  <si>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</si>
  <si>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</si>
  <si>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</si>
  <si>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</si>
  <si>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</si>
  <si>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</si>
  <si>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</si>
  <si>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</si>
  <si>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</si>
  <si>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</si>
  <si>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</si>
  <si>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</si>
  <si>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</si>
  <si>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</si>
  <si>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</si>
  <si>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</si>
  <si>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</si>
  <si>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</si>
  <si>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</si>
  <si>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</si>
  <si>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</si>
  <si>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</si>
  <si>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</si>
  <si>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</si>
  <si>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</si>
  <si>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</si>
  <si>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</si>
  <si>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</si>
  <si>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</si>
  <si>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</si>
  <si>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</si>
  <si>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</si>
  <si>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</si>
  <si>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</si>
  <si>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</si>
  <si>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</si>
  <si>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</si>
  <si>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</si>
  <si>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</si>
  <si>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</si>
  <si>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</si>
  <si>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</si>
  <si>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</si>
  <si>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</si>
  <si>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</si>
  <si>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</si>
  <si>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</si>
  <si>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</si>
  <si>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</si>
  <si>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</si>
  <si>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</si>
  <si>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</si>
  <si>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</si>
  <si>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</si>
  <si>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</si>
  <si>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</si>
  <si>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</si>
  <si>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</si>
  <si>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</si>
  <si>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</si>
  <si>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</si>
  <si>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</si>
  <si>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</si>
  <si>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</si>
  <si>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</si>
  <si>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</si>
  <si>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</si>
  <si>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</si>
  <si>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</si>
  <si>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</si>
  <si>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</si>
  <si>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</si>
  <si>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</si>
  <si>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</si>
  <si>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</si>
  <si>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</si>
  <si>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</si>
  <si>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</si>
  <si>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</si>
  <si>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</si>
  <si>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</si>
  <si>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</si>
  <si>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</si>
  <si>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</si>
  <si>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</si>
  <si>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</si>
  <si>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</si>
  <si>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</si>
  <si>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</si>
  <si>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</si>
  <si>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</si>
  <si>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</si>
  <si>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</si>
  <si>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</si>
  <si>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</si>
  <si>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</si>
  <si>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</si>
  <si>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</si>
  <si>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</si>
  <si>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</si>
  <si>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</si>
  <si>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</si>
  <si>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</si>
  <si>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</si>
  <si>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</si>
  <si>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</si>
  <si>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</si>
  <si>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</si>
  <si>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</si>
  <si>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23060</t>
  </si>
  <si>
    <t>OPWIJK</t>
  </si>
  <si>
    <t>Eandis (januari 2018); Infrax (juni 2018)</t>
  </si>
  <si>
    <t>MOW (september 2017)</t>
  </si>
  <si>
    <t>referentietaak LNE (2017); Jaarverslag De Lijn (2016)</t>
  </si>
  <si>
    <t>VEA (april 2018)</t>
  </si>
  <si>
    <t>VEA (januari 2017)</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</si>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</sst>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98647.582867839286</c:v>
                </c:pt>
                <c:pt idx="1">
                  <c:v>20829.417196586939</c:v>
                </c:pt>
                <c:pt idx="2">
                  <c:v>945.16099999999994</c:v>
                </c:pt>
                <c:pt idx="3">
                  <c:v>8733.0430565267288</c:v>
                </c:pt>
                <c:pt idx="4">
                  <c:v>15718.471173069125</c:v>
                </c:pt>
                <c:pt idx="5">
                  <c:v>60870.196461357751</c:v>
                </c:pt>
                <c:pt idx="6">
                  <c:v>627.80946892711836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98647.582867839286</c:v>
                </c:pt>
                <c:pt idx="1">
                  <c:v>20829.417196586939</c:v>
                </c:pt>
                <c:pt idx="2">
                  <c:v>945.16099999999994</c:v>
                </c:pt>
                <c:pt idx="3">
                  <c:v>8733.0430565267288</c:v>
                </c:pt>
                <c:pt idx="4">
                  <c:v>15718.471173069125</c:v>
                </c:pt>
                <c:pt idx="5">
                  <c:v>60870.196461357751</c:v>
                </c:pt>
                <c:pt idx="6">
                  <c:v>627.80946892711836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17905.594416138134</c:v>
                </c:pt>
                <c:pt idx="1">
                  <c:v>4043.7638276792804</c:v>
                </c:pt>
                <c:pt idx="2">
                  <c:v>172.8855216202401</c:v>
                </c:pt>
                <c:pt idx="3">
                  <c:v>1086.3593872916688</c:v>
                </c:pt>
                <c:pt idx="4">
                  <c:v>2899.6540410117345</c:v>
                </c:pt>
                <c:pt idx="5">
                  <c:v>15231.161439666994</c:v>
                </c:pt>
                <c:pt idx="6">
                  <c:v>158.6164159990773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17905.594416138134</c:v>
                </c:pt>
                <c:pt idx="1">
                  <c:v>4043.7638276792804</c:v>
                </c:pt>
                <c:pt idx="2">
                  <c:v>172.8855216202401</c:v>
                </c:pt>
                <c:pt idx="3">
                  <c:v>1086.3593872916688</c:v>
                </c:pt>
                <c:pt idx="4">
                  <c:v>2899.6540410117345</c:v>
                </c:pt>
                <c:pt idx="5">
                  <c:v>15231.161439666994</c:v>
                </c:pt>
                <c:pt idx="6">
                  <c:v>158.6164159990773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23060</v>
      </c>
      <c r="B6" s="415"/>
      <c r="C6" s="416"/>
    </row>
    <row r="7" spans="1:7" s="413" customFormat="1" ht="15.75" customHeight="1">
      <c r="A7" s="417" t="str">
        <f>txtMunicipality</f>
        <v>OPWIJK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5796</v>
      </c>
      <c r="C9" s="342">
        <v>5749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967.43000000000097</v>
      </c>
    </row>
    <row r="15" spans="1:6">
      <c r="A15" s="348" t="s">
        <v>184</v>
      </c>
      <c r="B15" s="334">
        <v>9</v>
      </c>
    </row>
    <row r="16" spans="1:6">
      <c r="A16" s="348" t="s">
        <v>6</v>
      </c>
      <c r="B16" s="334">
        <v>253</v>
      </c>
    </row>
    <row r="17" spans="1:6">
      <c r="A17" s="348" t="s">
        <v>7</v>
      </c>
      <c r="B17" s="334">
        <v>260</v>
      </c>
    </row>
    <row r="18" spans="1:6">
      <c r="A18" s="348" t="s">
        <v>8</v>
      </c>
      <c r="B18" s="334">
        <v>324</v>
      </c>
    </row>
    <row r="19" spans="1:6">
      <c r="A19" s="348" t="s">
        <v>9</v>
      </c>
      <c r="B19" s="334">
        <v>390</v>
      </c>
    </row>
    <row r="20" spans="1:6">
      <c r="A20" s="348" t="s">
        <v>10</v>
      </c>
      <c r="B20" s="334">
        <v>288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66</v>
      </c>
    </row>
    <row r="29" spans="1:6">
      <c r="A29" s="355" t="s">
        <v>744</v>
      </c>
      <c r="B29" s="355">
        <v>29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20172.2448415293</v>
      </c>
    </row>
    <row r="39" spans="1:6">
      <c r="A39" s="348" t="s">
        <v>30</v>
      </c>
      <c r="B39" s="348" t="s">
        <v>31</v>
      </c>
      <c r="C39" s="334">
        <v>3286</v>
      </c>
      <c r="D39" s="334">
        <v>50267712.533794798</v>
      </c>
      <c r="E39" s="334">
        <v>5728</v>
      </c>
      <c r="F39" s="334">
        <v>23252783.798273999</v>
      </c>
    </row>
    <row r="40" spans="1:6">
      <c r="A40" s="348" t="s">
        <v>30</v>
      </c>
      <c r="B40" s="348" t="s">
        <v>29</v>
      </c>
      <c r="C40" s="334">
        <v>0</v>
      </c>
      <c r="D40" s="334">
        <v>0</v>
      </c>
      <c r="E40" s="334">
        <v>0</v>
      </c>
      <c r="F40" s="334">
        <v>0</v>
      </c>
    </row>
    <row r="41" spans="1:6">
      <c r="A41" s="348" t="s">
        <v>32</v>
      </c>
      <c r="B41" s="348" t="s">
        <v>33</v>
      </c>
      <c r="C41" s="334">
        <v>39</v>
      </c>
      <c r="D41" s="334">
        <v>680613.12406913703</v>
      </c>
      <c r="E41" s="334">
        <v>151</v>
      </c>
      <c r="F41" s="334">
        <v>1396950.71565402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5006122.66760197</v>
      </c>
      <c r="E48" s="334">
        <v>37</v>
      </c>
      <c r="F48" s="334">
        <v>4666836.4180931896</v>
      </c>
    </row>
    <row r="49" spans="1:6">
      <c r="A49" s="348" t="s">
        <v>32</v>
      </c>
      <c r="B49" s="348" t="s">
        <v>40</v>
      </c>
      <c r="C49" s="334">
        <v>0</v>
      </c>
      <c r="D49" s="334">
        <v>0</v>
      </c>
      <c r="E49" s="334">
        <v>0</v>
      </c>
      <c r="F49" s="334">
        <v>0</v>
      </c>
    </row>
    <row r="50" spans="1:6">
      <c r="A50" s="348" t="s">
        <v>32</v>
      </c>
      <c r="B50" s="348" t="s">
        <v>41</v>
      </c>
      <c r="C50" s="334">
        <v>0</v>
      </c>
      <c r="D50" s="334">
        <v>0</v>
      </c>
      <c r="E50" s="334">
        <v>8</v>
      </c>
      <c r="F50" s="334">
        <v>253075.523665013</v>
      </c>
    </row>
    <row r="51" spans="1:6">
      <c r="A51" s="348" t="s">
        <v>42</v>
      </c>
      <c r="B51" s="348" t="s">
        <v>43</v>
      </c>
      <c r="C51" s="334">
        <v>5</v>
      </c>
      <c r="D51" s="334">
        <v>74708.847003653194</v>
      </c>
      <c r="E51" s="334">
        <v>48</v>
      </c>
      <c r="F51" s="334">
        <v>870727.37462030503</v>
      </c>
    </row>
    <row r="52" spans="1:6">
      <c r="A52" s="348" t="s">
        <v>42</v>
      </c>
      <c r="B52" s="348" t="s">
        <v>29</v>
      </c>
      <c r="C52" s="334">
        <v>4</v>
      </c>
      <c r="D52" s="334">
        <v>42911.146509026599</v>
      </c>
      <c r="E52" s="334">
        <v>7</v>
      </c>
      <c r="F52" s="334">
        <v>71562.831865633198</v>
      </c>
    </row>
    <row r="53" spans="1:6">
      <c r="A53" s="348" t="s">
        <v>44</v>
      </c>
      <c r="B53" s="348" t="s">
        <v>45</v>
      </c>
      <c r="C53" s="334">
        <v>68</v>
      </c>
      <c r="D53" s="334">
        <v>1094418.10654212</v>
      </c>
      <c r="E53" s="334">
        <v>206</v>
      </c>
      <c r="F53" s="334">
        <v>1117462.26461761</v>
      </c>
    </row>
    <row r="54" spans="1:6">
      <c r="A54" s="348" t="s">
        <v>46</v>
      </c>
      <c r="B54" s="348" t="s">
        <v>47</v>
      </c>
      <c r="C54" s="334">
        <v>0</v>
      </c>
      <c r="D54" s="334">
        <v>0</v>
      </c>
      <c r="E54" s="334">
        <v>1</v>
      </c>
      <c r="F54" s="334">
        <v>945161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455535.547100375</v>
      </c>
      <c r="E57" s="334">
        <v>45</v>
      </c>
      <c r="F57" s="334">
        <v>338802.73679753899</v>
      </c>
    </row>
    <row r="58" spans="1:6">
      <c r="A58" s="348" t="s">
        <v>49</v>
      </c>
      <c r="B58" s="348" t="s">
        <v>51</v>
      </c>
      <c r="C58" s="334">
        <v>10</v>
      </c>
      <c r="D58" s="334">
        <v>270188.99319527001</v>
      </c>
      <c r="E58" s="334">
        <v>17</v>
      </c>
      <c r="F58" s="334">
        <v>120233.970225728</v>
      </c>
    </row>
    <row r="59" spans="1:6">
      <c r="A59" s="348" t="s">
        <v>49</v>
      </c>
      <c r="B59" s="348" t="s">
        <v>52</v>
      </c>
      <c r="C59" s="334">
        <v>46</v>
      </c>
      <c r="D59" s="334">
        <v>1788040.8758657901</v>
      </c>
      <c r="E59" s="334">
        <v>134</v>
      </c>
      <c r="F59" s="334">
        <v>2923303.6097725201</v>
      </c>
    </row>
    <row r="60" spans="1:6">
      <c r="A60" s="348" t="s">
        <v>49</v>
      </c>
      <c r="B60" s="348" t="s">
        <v>53</v>
      </c>
      <c r="C60" s="334">
        <v>27</v>
      </c>
      <c r="D60" s="334">
        <v>1181678.51770756</v>
      </c>
      <c r="E60" s="334">
        <v>39</v>
      </c>
      <c r="F60" s="334">
        <v>708165.73500820203</v>
      </c>
    </row>
    <row r="61" spans="1:6">
      <c r="A61" s="348" t="s">
        <v>49</v>
      </c>
      <c r="B61" s="348" t="s">
        <v>54</v>
      </c>
      <c r="C61" s="334">
        <v>74</v>
      </c>
      <c r="D61" s="334">
        <v>4310064.6365109896</v>
      </c>
      <c r="E61" s="334">
        <v>184</v>
      </c>
      <c r="F61" s="334">
        <v>1357671.51945753</v>
      </c>
    </row>
    <row r="62" spans="1:6">
      <c r="A62" s="348" t="s">
        <v>49</v>
      </c>
      <c r="B62" s="348" t="s">
        <v>55</v>
      </c>
      <c r="C62" s="334">
        <v>3</v>
      </c>
      <c r="D62" s="334">
        <v>809234.61519037699</v>
      </c>
      <c r="E62" s="334">
        <v>6</v>
      </c>
      <c r="F62" s="334">
        <v>348724.74366419303</v>
      </c>
    </row>
    <row r="63" spans="1:6">
      <c r="A63" s="348" t="s">
        <v>49</v>
      </c>
      <c r="B63" s="348" t="s">
        <v>29</v>
      </c>
      <c r="C63" s="334">
        <v>77</v>
      </c>
      <c r="D63" s="334">
        <v>3143715.7232941901</v>
      </c>
      <c r="E63" s="334">
        <v>103</v>
      </c>
      <c r="F63" s="334">
        <v>2170558.5471372101</v>
      </c>
    </row>
    <row r="64" spans="1:6">
      <c r="A64" s="348" t="s">
        <v>56</v>
      </c>
      <c r="B64" s="348" t="s">
        <v>57</v>
      </c>
      <c r="C64" s="334">
        <v>0</v>
      </c>
      <c r="D64" s="334">
        <v>0</v>
      </c>
      <c r="E64" s="334">
        <v>0</v>
      </c>
      <c r="F64" s="334">
        <v>0</v>
      </c>
    </row>
    <row r="65" spans="1:6">
      <c r="A65" s="348" t="s">
        <v>56</v>
      </c>
      <c r="B65" s="348" t="s">
        <v>29</v>
      </c>
      <c r="C65" s="334">
        <v>2</v>
      </c>
      <c r="D65" s="334">
        <v>56020.867074466703</v>
      </c>
      <c r="E65" s="334">
        <v>2</v>
      </c>
      <c r="F65" s="334">
        <v>14876</v>
      </c>
    </row>
    <row r="66" spans="1:6">
      <c r="A66" s="348" t="s">
        <v>56</v>
      </c>
      <c r="B66" s="348" t="s">
        <v>58</v>
      </c>
      <c r="C66" s="334">
        <v>0</v>
      </c>
      <c r="D66" s="334">
        <v>0</v>
      </c>
      <c r="E66" s="334">
        <v>4</v>
      </c>
      <c r="F66" s="334">
        <v>13228.101406759601</v>
      </c>
    </row>
    <row r="67" spans="1:6">
      <c r="A67" s="355" t="s">
        <v>56</v>
      </c>
      <c r="B67" s="355" t="s">
        <v>59</v>
      </c>
      <c r="C67" s="334">
        <v>0</v>
      </c>
      <c r="D67" s="334">
        <v>0</v>
      </c>
      <c r="E67" s="334">
        <v>0</v>
      </c>
      <c r="F67" s="334">
        <v>0</v>
      </c>
    </row>
    <row r="68" spans="1:6">
      <c r="A68" s="341" t="s">
        <v>56</v>
      </c>
      <c r="B68" s="341" t="s">
        <v>60</v>
      </c>
      <c r="C68" s="334">
        <v>0</v>
      </c>
      <c r="D68" s="334">
        <v>0</v>
      </c>
      <c r="E68" s="334">
        <v>7</v>
      </c>
      <c r="F68" s="334">
        <v>23405.175082909602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42361987</v>
      </c>
      <c r="E73" s="476">
        <v>44588315.004418194</v>
      </c>
    </row>
    <row r="74" spans="1:6">
      <c r="A74" s="348" t="s">
        <v>64</v>
      </c>
      <c r="B74" s="348" t="s">
        <v>657</v>
      </c>
      <c r="C74" s="1272" t="s">
        <v>659</v>
      </c>
      <c r="D74" s="476">
        <v>4074636.7898003566</v>
      </c>
      <c r="E74" s="476">
        <v>4024074.577591043</v>
      </c>
    </row>
    <row r="75" spans="1:6">
      <c r="A75" s="348" t="s">
        <v>65</v>
      </c>
      <c r="B75" s="348" t="s">
        <v>656</v>
      </c>
      <c r="C75" s="1272" t="s">
        <v>660</v>
      </c>
      <c r="D75" s="476">
        <v>21361992</v>
      </c>
      <c r="E75" s="476">
        <v>22784238.097326703</v>
      </c>
    </row>
    <row r="76" spans="1:6">
      <c r="A76" s="348" t="s">
        <v>65</v>
      </c>
      <c r="B76" s="348" t="s">
        <v>657</v>
      </c>
      <c r="C76" s="1272" t="s">
        <v>661</v>
      </c>
      <c r="D76" s="476">
        <v>1491683.7898003566</v>
      </c>
      <c r="E76" s="476">
        <v>1497198.255861629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170272.42039928684</v>
      </c>
      <c r="C83" s="476">
        <v>170504.13596872645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3440.318688374135</v>
      </c>
    </row>
    <row r="92" spans="1:6">
      <c r="A92" s="341" t="s">
        <v>69</v>
      </c>
      <c r="B92" s="342">
        <v>588.39103815010776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1</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42889.946437095357</v>
      </c>
      <c r="C3" s="43" t="s">
        <v>170</v>
      </c>
      <c r="D3" s="43"/>
      <c r="E3" s="154"/>
      <c r="F3" s="43"/>
      <c r="G3" s="43"/>
      <c r="H3" s="43"/>
      <c r="I3" s="43"/>
      <c r="J3" s="43"/>
      <c r="K3" s="96"/>
    </row>
    <row r="4" spans="1:11">
      <c r="A4" s="383" t="s">
        <v>171</v>
      </c>
      <c r="B4" s="49">
        <f>IF(ISERROR('SEAP template'!B69),0,'SEAP template'!B69)</f>
        <v>9244.2097265242428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409.57014705882358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0.18291647837801189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460.76641544117649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5867.4375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7.8529411764705889E-2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945.16099999999994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945.16099999999994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0.18291647837801189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172.8855216202401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23252.783798273998</v>
      </c>
      <c r="C5" s="17">
        <f>IF(ISERROR('Eigen informatie GS &amp; warmtenet'!B57),0,'Eigen informatie GS &amp; warmtenet'!B57)</f>
        <v>0</v>
      </c>
      <c r="D5" s="30">
        <f>(SUM(HH_hh_gas_kWh,HH_rest_gas_kWh)/1000)*0.902</f>
        <v>45341.476705482906</v>
      </c>
      <c r="E5" s="17">
        <f>B46*B57</f>
        <v>1812.2362881796498</v>
      </c>
      <c r="F5" s="17">
        <f>B51*B62</f>
        <v>12931.199177426124</v>
      </c>
      <c r="G5" s="18"/>
      <c r="H5" s="17"/>
      <c r="I5" s="17"/>
      <c r="J5" s="17">
        <f>B50*B61+C50*C61</f>
        <v>0</v>
      </c>
      <c r="K5" s="17"/>
      <c r="L5" s="17"/>
      <c r="M5" s="17"/>
      <c r="N5" s="17">
        <f>B48*B59+C48*C59</f>
        <v>10422.004876769141</v>
      </c>
      <c r="O5" s="17">
        <f>B69*B70*B71</f>
        <v>189.16333333333336</v>
      </c>
      <c r="P5" s="17">
        <f>B77*B78*B79/1000-B77*B78*B79/1000/B80</f>
        <v>1258.4000000000001</v>
      </c>
    </row>
    <row r="6" spans="1:16">
      <c r="A6" s="16" t="s">
        <v>621</v>
      </c>
      <c r="B6" s="843">
        <f>kWh_PV_kleiner_dan_10kW</f>
        <v>3440.318688374135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26693.102486648135</v>
      </c>
      <c r="C8" s="21">
        <f>C5</f>
        <v>0</v>
      </c>
      <c r="D8" s="21">
        <f>D5</f>
        <v>45341.476705482906</v>
      </c>
      <c r="E8" s="21">
        <f>E5</f>
        <v>1812.2362881796498</v>
      </c>
      <c r="F8" s="21">
        <f>F5</f>
        <v>12931.199177426124</v>
      </c>
      <c r="G8" s="21"/>
      <c r="H8" s="21"/>
      <c r="I8" s="21"/>
      <c r="J8" s="21">
        <f>J5</f>
        <v>0</v>
      </c>
      <c r="K8" s="21"/>
      <c r="L8" s="21">
        <f>L5</f>
        <v>0</v>
      </c>
      <c r="M8" s="21">
        <f>M5</f>
        <v>0</v>
      </c>
      <c r="N8" s="21">
        <f>N5</f>
        <v>10422.004876769141</v>
      </c>
      <c r="O8" s="21">
        <f>O5</f>
        <v>189.16333333333336</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0.18291647837801189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4882.6083038410288</v>
      </c>
      <c r="C12" s="23">
        <f ca="1">C10*C8</f>
        <v>0</v>
      </c>
      <c r="D12" s="23">
        <f>D8*D10</f>
        <v>9158.9782945075476</v>
      </c>
      <c r="E12" s="23">
        <f>E10*E8</f>
        <v>411.37763741678054</v>
      </c>
      <c r="F12" s="23">
        <f>F10*F8</f>
        <v>3452.6301803727752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5796</v>
      </c>
      <c r="C28" s="36"/>
      <c r="D28" s="228"/>
    </row>
    <row r="29" spans="1:7" s="15" customFormat="1">
      <c r="A29" s="230" t="s">
        <v>795</v>
      </c>
      <c r="B29" s="37">
        <f>SUM(HH_hh_gas_aantal,HH_rest_gas_aantal)</f>
        <v>3286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3286</v>
      </c>
      <c r="C32" s="167">
        <f>IF(ISERROR(B32/SUM($B$32,$B$34,$B$35,$B$36,$B$38,$B$39)*100),0,B32/SUM($B$32,$B$34,$B$35,$B$36,$B$38,$B$39)*100)</f>
        <v>57.347294938917983</v>
      </c>
      <c r="D32" s="233"/>
      <c r="G32" s="15"/>
    </row>
    <row r="33" spans="1:7">
      <c r="A33" s="171" t="s">
        <v>72</v>
      </c>
      <c r="B33" s="34" t="s">
        <v>111</v>
      </c>
      <c r="C33" s="167"/>
      <c r="D33" s="233"/>
      <c r="G33" s="15"/>
    </row>
    <row r="34" spans="1:7">
      <c r="A34" s="171" t="s">
        <v>73</v>
      </c>
      <c r="B34" s="33">
        <f>IF((($B$28-$B$32-$B$39-$B$77-$B$38)*C20/100)&lt;0,0,($B$28-$B$32-$B$39-$B$77-$B$38)*C20/100)</f>
        <v>85.590096286107297</v>
      </c>
      <c r="C34" s="167">
        <f>IF(ISERROR(B34/SUM($B$32,$B$34,$B$35,$B$36,$B$38,$B$39)*100),0,B34/SUM($B$32,$B$34,$B$35,$B$36,$B$38,$B$39)*100)</f>
        <v>1.4937189578727277</v>
      </c>
      <c r="D34" s="233"/>
      <c r="G34" s="15"/>
    </row>
    <row r="35" spans="1:7">
      <c r="A35" s="171" t="s">
        <v>74</v>
      </c>
      <c r="B35" s="33">
        <f>IF((($B$28-$B$32-$B$39-$B$77-$B$38)*C21/100)&lt;0,0,($B$28-$B$32-$B$39-$B$77-$B$38)*C21/100)</f>
        <v>1714.4766162310866</v>
      </c>
      <c r="C35" s="167">
        <f>IF(ISERROR(B35/SUM($B$32,$B$34,$B$35,$B$36,$B$38,$B$39)*100),0,B35/SUM($B$32,$B$34,$B$35,$B$36,$B$38,$B$39)*100)</f>
        <v>29.921057874888074</v>
      </c>
      <c r="D35" s="233"/>
      <c r="G35" s="15"/>
    </row>
    <row r="36" spans="1:7">
      <c r="A36" s="171" t="s">
        <v>75</v>
      </c>
      <c r="B36" s="33">
        <f>IF((($B$28-$B$32-$B$39-$B$77-$B$38)*C22/100)&lt;0,0,($B$28-$B$32-$B$39-$B$77-$B$38)*C22/100)</f>
        <v>144.43328748280604</v>
      </c>
      <c r="C36" s="167">
        <f>IF(ISERROR(B36/SUM($B$32,$B$34,$B$35,$B$36,$B$38,$B$39)*100),0,B36/SUM($B$32,$B$34,$B$35,$B$36,$B$38,$B$39)*100)</f>
        <v>2.5206507414102277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499.5</v>
      </c>
      <c r="C39" s="167">
        <f>IF(ISERROR(B39/SUM($B$32,$B$34,$B$35,$B$36,$B$38,$B$39)*100),0,B39/SUM($B$32,$B$34,$B$35,$B$36,$B$38,$B$39)*100)</f>
        <v>8.7172774869109944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3286</v>
      </c>
      <c r="C44" s="34" t="s">
        <v>111</v>
      </c>
      <c r="D44" s="174"/>
    </row>
    <row r="45" spans="1:7">
      <c r="A45" s="171" t="s">
        <v>72</v>
      </c>
      <c r="B45" s="33" t="str">
        <f t="shared" si="0"/>
        <v>-</v>
      </c>
      <c r="C45" s="34" t="s">
        <v>111</v>
      </c>
      <c r="D45" s="174"/>
    </row>
    <row r="46" spans="1:7">
      <c r="A46" s="171" t="s">
        <v>73</v>
      </c>
      <c r="B46" s="33">
        <f t="shared" si="0"/>
        <v>85.590096286107297</v>
      </c>
      <c r="C46" s="34" t="s">
        <v>111</v>
      </c>
      <c r="D46" s="174"/>
    </row>
    <row r="47" spans="1:7">
      <c r="A47" s="171" t="s">
        <v>74</v>
      </c>
      <c r="B47" s="33">
        <f t="shared" si="0"/>
        <v>1714.4766162310866</v>
      </c>
      <c r="C47" s="34" t="s">
        <v>111</v>
      </c>
      <c r="D47" s="174"/>
    </row>
    <row r="48" spans="1:7">
      <c r="A48" s="171" t="s">
        <v>75</v>
      </c>
      <c r="B48" s="33">
        <f t="shared" si="0"/>
        <v>144.43328748280604</v>
      </c>
      <c r="C48" s="33">
        <f>B48*10</f>
        <v>1444.3328748280603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7967.4608620629224</v>
      </c>
      <c r="C5" s="17">
        <f>IF(ISERROR('Eigen informatie GS &amp; warmtenet'!B58),0,'Eigen informatie GS &amp; warmtenet'!B58)</f>
        <v>0</v>
      </c>
      <c r="D5" s="30">
        <f>SUM(D6:D12)</f>
        <v>10786.529935795827</v>
      </c>
      <c r="E5" s="17">
        <f>SUM(E6:E12)</f>
        <v>148.8042072948262</v>
      </c>
      <c r="F5" s="17">
        <f>SUM(F6:F12)</f>
        <v>1399.7074123568034</v>
      </c>
      <c r="G5" s="18"/>
      <c r="H5" s="17"/>
      <c r="I5" s="17"/>
      <c r="J5" s="17">
        <f>SUM(J6:J12)</f>
        <v>1.2610141645049831E-2</v>
      </c>
      <c r="K5" s="17"/>
      <c r="L5" s="17"/>
      <c r="M5" s="17"/>
      <c r="N5" s="17">
        <f>SUM(N6:N12)</f>
        <v>506.2721689349155</v>
      </c>
      <c r="O5" s="17">
        <f>B38*B39*B40</f>
        <v>1.5633333333333335</v>
      </c>
      <c r="P5" s="17">
        <f>B46*B47*B48/1000-B46*B47*B48/1000/B49</f>
        <v>19.066666666666666</v>
      </c>
      <c r="R5" s="32"/>
    </row>
    <row r="6" spans="1:18">
      <c r="A6" s="32" t="s">
        <v>54</v>
      </c>
      <c r="B6" s="37">
        <f>B26</f>
        <v>1357.6715194575299</v>
      </c>
      <c r="C6" s="33"/>
      <c r="D6" s="37">
        <f>IF(ISERROR(TER_kantoor_gas_kWh/1000),0,TER_kantoor_gas_kWh/1000)*0.902</f>
        <v>3887.6783021329129</v>
      </c>
      <c r="E6" s="33">
        <f>$C$26*'E Balans VL '!I12/100/3.6*1000000</f>
        <v>8.5094335294866649E-3</v>
      </c>
      <c r="F6" s="33">
        <f>$C$26*('E Balans VL '!L12+'E Balans VL '!N12)/100/3.6*1000000</f>
        <v>204.02009241402246</v>
      </c>
      <c r="G6" s="34"/>
      <c r="H6" s="33"/>
      <c r="I6" s="33"/>
      <c r="J6" s="33">
        <f>$C$26*('E Balans VL '!D12+'E Balans VL '!E12)/100/3.6*1000000</f>
        <v>0</v>
      </c>
      <c r="K6" s="33"/>
      <c r="L6" s="33"/>
      <c r="M6" s="33"/>
      <c r="N6" s="33">
        <f>$C$26*'E Balans VL '!Y12/100/3.6*1000000</f>
        <v>1.2984115114672081</v>
      </c>
      <c r="O6" s="33"/>
      <c r="P6" s="33"/>
      <c r="R6" s="32"/>
    </row>
    <row r="7" spans="1:18">
      <c r="A7" s="32" t="s">
        <v>53</v>
      </c>
      <c r="B7" s="37">
        <f t="shared" ref="B7:B12" si="0">B27</f>
        <v>708.16573500820198</v>
      </c>
      <c r="C7" s="33"/>
      <c r="D7" s="37">
        <f>IF(ISERROR(TER_horeca_gas_kWh/1000),0,TER_horeca_gas_kWh/1000)*0.902</f>
        <v>1065.8740229722191</v>
      </c>
      <c r="E7" s="33">
        <f>$C$27*'E Balans VL '!I9/100/3.6*1000000</f>
        <v>10.140815367423938</v>
      </c>
      <c r="F7" s="33">
        <f>$C$27*('E Balans VL '!L9+'E Balans VL '!N9)/100/3.6*1000000</f>
        <v>89.677138257796955</v>
      </c>
      <c r="G7" s="34"/>
      <c r="H7" s="33"/>
      <c r="I7" s="33"/>
      <c r="J7" s="33">
        <f>$C$27*('E Balans VL '!D9+'E Balans VL '!E9)/100/3.6*1000000</f>
        <v>0</v>
      </c>
      <c r="K7" s="33"/>
      <c r="L7" s="33"/>
      <c r="M7" s="33"/>
      <c r="N7" s="33">
        <f>$C$27*'E Balans VL '!Y9/100/3.6*1000000</f>
        <v>0.20358203510067716</v>
      </c>
      <c r="O7" s="33"/>
      <c r="P7" s="33"/>
      <c r="R7" s="32"/>
    </row>
    <row r="8" spans="1:18">
      <c r="A8" s="6" t="s">
        <v>52</v>
      </c>
      <c r="B8" s="37">
        <f t="shared" si="0"/>
        <v>2923.3036097725203</v>
      </c>
      <c r="C8" s="33"/>
      <c r="D8" s="37">
        <f>IF(ISERROR(TER_handel_gas_kWh/1000),0,TER_handel_gas_kWh/1000)*0.902</f>
        <v>1612.8128700309426</v>
      </c>
      <c r="E8" s="33">
        <f>$C$28*'E Balans VL '!I13/100/3.6*1000000</f>
        <v>106.02786144079846</v>
      </c>
      <c r="F8" s="33">
        <f>$C$28*('E Balans VL '!L13+'E Balans VL '!N13)/100/3.6*1000000</f>
        <v>563.0578755731666</v>
      </c>
      <c r="G8" s="34"/>
      <c r="H8" s="33"/>
      <c r="I8" s="33"/>
      <c r="J8" s="33">
        <f>$C$28*('E Balans VL '!D13+'E Balans VL '!E13)/100/3.6*1000000</f>
        <v>0</v>
      </c>
      <c r="K8" s="33"/>
      <c r="L8" s="33"/>
      <c r="M8" s="33"/>
      <c r="N8" s="33">
        <f>$C$28*'E Balans VL '!Y13/100/3.6*1000000</f>
        <v>4.0494481216974991</v>
      </c>
      <c r="O8" s="33"/>
      <c r="P8" s="33"/>
      <c r="R8" s="32"/>
    </row>
    <row r="9" spans="1:18">
      <c r="A9" s="32" t="s">
        <v>51</v>
      </c>
      <c r="B9" s="37">
        <f t="shared" si="0"/>
        <v>120.233970225728</v>
      </c>
      <c r="C9" s="33"/>
      <c r="D9" s="37">
        <f>IF(ISERROR(TER_gezond_gas_kWh/1000),0,TER_gezond_gas_kWh/1000)*0.902</f>
        <v>243.71047186213357</v>
      </c>
      <c r="E9" s="33">
        <f>$C$29*'E Balans VL '!I10/100/3.6*1000000</f>
        <v>7.5278336321252613E-3</v>
      </c>
      <c r="F9" s="33">
        <f>$C$29*('E Balans VL '!L10+'E Balans VL '!N10)/100/3.6*1000000</f>
        <v>17.861122354607851</v>
      </c>
      <c r="G9" s="34"/>
      <c r="H9" s="33"/>
      <c r="I9" s="33"/>
      <c r="J9" s="33">
        <f>$C$29*('E Balans VL '!D10+'E Balans VL '!E10)/100/3.6*1000000</f>
        <v>0</v>
      </c>
      <c r="K9" s="33"/>
      <c r="L9" s="33"/>
      <c r="M9" s="33"/>
      <c r="N9" s="33">
        <f>$C$29*'E Balans VL '!Y10/100/3.6*1000000</f>
        <v>1.8597906530379817</v>
      </c>
      <c r="O9" s="33"/>
      <c r="P9" s="33"/>
      <c r="R9" s="32"/>
    </row>
    <row r="10" spans="1:18">
      <c r="A10" s="32" t="s">
        <v>50</v>
      </c>
      <c r="B10" s="37">
        <f t="shared" si="0"/>
        <v>338.80273679753901</v>
      </c>
      <c r="C10" s="33"/>
      <c r="D10" s="37">
        <f>IF(ISERROR(TER_ander_gas_kWh/1000),0,TER_ander_gas_kWh/1000)*0.902</f>
        <v>410.89306348453829</v>
      </c>
      <c r="E10" s="33">
        <f>$C$30*'E Balans VL '!I14/100/3.6*1000000</f>
        <v>0.40384075549853699</v>
      </c>
      <c r="F10" s="33">
        <f>$C$30*('E Balans VL '!L14+'E Balans VL '!N14)/100/3.6*1000000</f>
        <v>88.64585793289848</v>
      </c>
      <c r="G10" s="34"/>
      <c r="H10" s="33"/>
      <c r="I10" s="33"/>
      <c r="J10" s="33">
        <f>$C$30*('E Balans VL '!D14+'E Balans VL '!E14)/100/3.6*1000000</f>
        <v>7.3540793458169423E-3</v>
      </c>
      <c r="K10" s="33"/>
      <c r="L10" s="33"/>
      <c r="M10" s="33"/>
      <c r="N10" s="33">
        <f>$C$30*'E Balans VL '!Y14/100/3.6*1000000</f>
        <v>287.70299370219618</v>
      </c>
      <c r="O10" s="33"/>
      <c r="P10" s="33"/>
      <c r="R10" s="32"/>
    </row>
    <row r="11" spans="1:18">
      <c r="A11" s="32" t="s">
        <v>55</v>
      </c>
      <c r="B11" s="37">
        <f t="shared" si="0"/>
        <v>348.724743664193</v>
      </c>
      <c r="C11" s="33"/>
      <c r="D11" s="37">
        <f>IF(ISERROR(TER_onderwijs_gas_kWh/1000),0,TER_onderwijs_gas_kWh/1000)*0.902</f>
        <v>729.92962290172011</v>
      </c>
      <c r="E11" s="33">
        <f>$C$31*'E Balans VL '!I11/100/3.6*1000000</f>
        <v>5.2616947072835343</v>
      </c>
      <c r="F11" s="33">
        <f>$C$31*('E Balans VL '!L11+'E Balans VL '!N11)/100/3.6*1000000</f>
        <v>61.102146133483338</v>
      </c>
      <c r="G11" s="34"/>
      <c r="H11" s="33"/>
      <c r="I11" s="33"/>
      <c r="J11" s="33">
        <f>$C$31*('E Balans VL '!D11+'E Balans VL '!E11)/100/3.6*1000000</f>
        <v>0</v>
      </c>
      <c r="K11" s="33"/>
      <c r="L11" s="33"/>
      <c r="M11" s="33"/>
      <c r="N11" s="33">
        <f>$C$31*'E Balans VL '!Y11/100/3.6*1000000</f>
        <v>0.98133793973564332</v>
      </c>
      <c r="O11" s="33"/>
      <c r="P11" s="33"/>
      <c r="R11" s="32"/>
    </row>
    <row r="12" spans="1:18">
      <c r="A12" s="32" t="s">
        <v>260</v>
      </c>
      <c r="B12" s="37">
        <f t="shared" si="0"/>
        <v>2170.5585471372101</v>
      </c>
      <c r="C12" s="33"/>
      <c r="D12" s="37">
        <f>IF(ISERROR(TER_rest_gas_kWh/1000),0,TER_rest_gas_kWh/1000)*0.902</f>
        <v>2835.6315824113594</v>
      </c>
      <c r="E12" s="33">
        <f>$C$32*'E Balans VL '!I8/100/3.6*1000000</f>
        <v>26.953957756660131</v>
      </c>
      <c r="F12" s="33">
        <f>$C$32*('E Balans VL '!L8+'E Balans VL '!N8)/100/3.6*1000000</f>
        <v>375.34317969082787</v>
      </c>
      <c r="G12" s="34"/>
      <c r="H12" s="33"/>
      <c r="I12" s="33"/>
      <c r="J12" s="33">
        <f>$C$32*('E Balans VL '!D8+'E Balans VL '!E8)/100/3.6*1000000</f>
        <v>5.2560622992328882E-3</v>
      </c>
      <c r="K12" s="33"/>
      <c r="L12" s="33"/>
      <c r="M12" s="33"/>
      <c r="N12" s="33">
        <f>$C$32*'E Balans VL '!Y8/100/3.6*1000000</f>
        <v>210.17660497168032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7967.4608620629224</v>
      </c>
      <c r="C16" s="21">
        <f t="shared" ca="1" si="1"/>
        <v>0</v>
      </c>
      <c r="D16" s="21">
        <f t="shared" ca="1" si="1"/>
        <v>10786.529935795827</v>
      </c>
      <c r="E16" s="21">
        <f t="shared" si="1"/>
        <v>148.8042072948262</v>
      </c>
      <c r="F16" s="21">
        <f t="shared" ca="1" si="1"/>
        <v>1399.7074123568034</v>
      </c>
      <c r="G16" s="21">
        <f t="shared" si="1"/>
        <v>0</v>
      </c>
      <c r="H16" s="21">
        <f t="shared" si="1"/>
        <v>0</v>
      </c>
      <c r="I16" s="21">
        <f t="shared" si="1"/>
        <v>0</v>
      </c>
      <c r="J16" s="21">
        <f t="shared" si="1"/>
        <v>1.2610141645049831E-2</v>
      </c>
      <c r="K16" s="21">
        <f t="shared" si="1"/>
        <v>0</v>
      </c>
      <c r="L16" s="21">
        <f t="shared" ca="1" si="1"/>
        <v>0</v>
      </c>
      <c r="M16" s="21">
        <f t="shared" si="1"/>
        <v>0</v>
      </c>
      <c r="N16" s="21">
        <f t="shared" ca="1" si="1"/>
        <v>506.2721689349155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0.18291647837801189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1457.3798825031886</v>
      </c>
      <c r="C20" s="23">
        <f t="shared" ref="C20:P20" ca="1" si="2">C16*C18</f>
        <v>0</v>
      </c>
      <c r="D20" s="23">
        <f t="shared" ca="1" si="2"/>
        <v>2178.8790470307572</v>
      </c>
      <c r="E20" s="23">
        <f t="shared" si="2"/>
        <v>33.778555055925551</v>
      </c>
      <c r="F20" s="23">
        <f t="shared" ca="1" si="2"/>
        <v>373.72187909926652</v>
      </c>
      <c r="G20" s="23">
        <f t="shared" si="2"/>
        <v>0</v>
      </c>
      <c r="H20" s="23">
        <f t="shared" si="2"/>
        <v>0</v>
      </c>
      <c r="I20" s="23">
        <f t="shared" si="2"/>
        <v>0</v>
      </c>
      <c r="J20" s="23">
        <f t="shared" si="2"/>
        <v>4.4639901423476399E-3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1357.6715194575299</v>
      </c>
      <c r="C26" s="39">
        <f>IF(ISERROR(B26*3.6/1000000/'E Balans VL '!Z12*100),0,B26*3.6/1000000/'E Balans VL '!Z12*100)</f>
        <v>2.869902519592037E-2</v>
      </c>
      <c r="D26" s="237" t="s">
        <v>754</v>
      </c>
      <c r="F26" s="6"/>
    </row>
    <row r="27" spans="1:18">
      <c r="A27" s="231" t="s">
        <v>53</v>
      </c>
      <c r="B27" s="33">
        <f>IF(ISERROR(TER_horeca_ele_kWh/1000),0,TER_horeca_ele_kWh/1000)</f>
        <v>708.16573500820198</v>
      </c>
      <c r="C27" s="39">
        <f>IF(ISERROR(B27*3.6/1000000/'E Balans VL '!Z9*100),0,B27*3.6/1000000/'E Balans VL '!Z9*100)</f>
        <v>5.5824440943852152E-2</v>
      </c>
      <c r="D27" s="237" t="s">
        <v>754</v>
      </c>
      <c r="F27" s="6"/>
    </row>
    <row r="28" spans="1:18">
      <c r="A28" s="171" t="s">
        <v>52</v>
      </c>
      <c r="B28" s="33">
        <f>IF(ISERROR(TER_handel_ele_kWh/1000),0,TER_handel_ele_kWh/1000)</f>
        <v>2923.3036097725203</v>
      </c>
      <c r="C28" s="39">
        <f>IF(ISERROR(B28*3.6/1000000/'E Balans VL '!Z13*100),0,B28*3.6/1000000/'E Balans VL '!Z13*100)</f>
        <v>8.4846082225729355E-2</v>
      </c>
      <c r="D28" s="237" t="s">
        <v>754</v>
      </c>
      <c r="F28" s="6"/>
    </row>
    <row r="29" spans="1:18">
      <c r="A29" s="231" t="s">
        <v>51</v>
      </c>
      <c r="B29" s="33">
        <f>IF(ISERROR(TER_gezond_ele_kWh/1000),0,TER_gezond_ele_kWh/1000)</f>
        <v>120.233970225728</v>
      </c>
      <c r="C29" s="39">
        <f>IF(ISERROR(B29*3.6/1000000/'E Balans VL '!Z10*100),0,B29*3.6/1000000/'E Balans VL '!Z10*100)</f>
        <v>1.2662611358673994E-2</v>
      </c>
      <c r="D29" s="237" t="s">
        <v>754</v>
      </c>
      <c r="F29" s="6"/>
    </row>
    <row r="30" spans="1:18">
      <c r="A30" s="231" t="s">
        <v>50</v>
      </c>
      <c r="B30" s="33">
        <f>IF(ISERROR(TER_ander_ele_kWh/1000),0,TER_ander_ele_kWh/1000)</f>
        <v>338.80273679753901</v>
      </c>
      <c r="C30" s="39">
        <f>IF(ISERROR(B30*3.6/1000000/'E Balans VL '!Z14*100),0,B30*3.6/1000000/'E Balans VL '!Z14*100)</f>
        <v>2.4990163453774861E-2</v>
      </c>
      <c r="D30" s="237" t="s">
        <v>754</v>
      </c>
      <c r="F30" s="6"/>
    </row>
    <row r="31" spans="1:18">
      <c r="A31" s="231" t="s">
        <v>55</v>
      </c>
      <c r="B31" s="33">
        <f>IF(ISERROR(TER_onderwijs_ele_kWh/1000),0,TER_onderwijs_ele_kWh/1000)</f>
        <v>348.724743664193</v>
      </c>
      <c r="C31" s="39">
        <f>IF(ISERROR(B31*3.6/1000000/'E Balans VL '!Z11*100),0,B31*3.6/1000000/'E Balans VL '!Z11*100)</f>
        <v>8.6604689080827635E-2</v>
      </c>
      <c r="D31" s="237" t="s">
        <v>754</v>
      </c>
    </row>
    <row r="32" spans="1:18">
      <c r="A32" s="231" t="s">
        <v>260</v>
      </c>
      <c r="B32" s="33">
        <f>IF(ISERROR(TER_rest_ele_kWh/1000),0,TER_rest_ele_kWh/1000)</f>
        <v>2170.5585471372101</v>
      </c>
      <c r="C32" s="39">
        <f>IF(ISERROR(B32*3.6/1000000/'E Balans VL '!Z8*100),0,B32*3.6/1000000/'E Balans VL '!Z8*100)</f>
        <v>1.7860815719341731E-2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6316.8626574122227</v>
      </c>
      <c r="C5" s="17">
        <f>IF(ISERROR('Eigen informatie GS &amp; warmtenet'!B59),0,'Eigen informatie GS &amp; warmtenet'!B59)</f>
        <v>0</v>
      </c>
      <c r="D5" s="30">
        <f>SUM(D6:D15)</f>
        <v>5129.4356840873388</v>
      </c>
      <c r="E5" s="17">
        <f>SUM(E6:E15)</f>
        <v>666.57504035172133</v>
      </c>
      <c r="F5" s="17">
        <f>SUM(F6:F15)</f>
        <v>2063.0070534098136</v>
      </c>
      <c r="G5" s="18"/>
      <c r="H5" s="17"/>
      <c r="I5" s="17"/>
      <c r="J5" s="17">
        <f>SUM(J6:J15)</f>
        <v>16.70718563394945</v>
      </c>
      <c r="K5" s="17"/>
      <c r="L5" s="17"/>
      <c r="M5" s="17"/>
      <c r="N5" s="17">
        <f>SUM(N6:N15)</f>
        <v>1525.8835521740791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1396.9507156540199</v>
      </c>
      <c r="C9" s="33"/>
      <c r="D9" s="37">
        <f>IF( ISERROR(IND_andere_gas_kWh/1000),0,IND_andere_gas_kWh/1000)*0.902</f>
        <v>613.9130379103616</v>
      </c>
      <c r="E9" s="33">
        <f>C31*'E Balans VL '!I19/100/3.6*1000000</f>
        <v>408.35588960842216</v>
      </c>
      <c r="F9" s="33">
        <f>C31*'E Balans VL '!L19/100/3.6*1000000+C31*'E Balans VL '!N19/100/3.6*1000000</f>
        <v>1122.5556394812129</v>
      </c>
      <c r="G9" s="34"/>
      <c r="H9" s="33"/>
      <c r="I9" s="33"/>
      <c r="J9" s="40">
        <f>C31*'E Balans VL '!D19/100/3.6*1000000+C31*'E Balans VL '!E19/100/3.6*1000000</f>
        <v>0</v>
      </c>
      <c r="K9" s="33"/>
      <c r="L9" s="33"/>
      <c r="M9" s="33"/>
      <c r="N9" s="33">
        <f>C31*'E Balans VL '!Y19/100/3.6*1000000</f>
        <v>461.57418162162617</v>
      </c>
      <c r="O9" s="33"/>
      <c r="P9" s="33"/>
      <c r="R9" s="32"/>
    </row>
    <row r="10" spans="1:18">
      <c r="A10" s="6" t="s">
        <v>41</v>
      </c>
      <c r="B10" s="37">
        <f t="shared" si="0"/>
        <v>253.07552366501301</v>
      </c>
      <c r="C10" s="33"/>
      <c r="D10" s="37">
        <f>IF( ISERROR(IND_voed_gas_kWh/1000),0,IND_voed_gas_kWh/1000)*0.902</f>
        <v>0</v>
      </c>
      <c r="E10" s="33">
        <f>C32*'E Balans VL '!I20/100/3.6*1000000</f>
        <v>0.53538519429580478</v>
      </c>
      <c r="F10" s="33">
        <f>C32*'E Balans VL '!L20/100/3.6*1000000+C32*'E Balans VL '!N20/100/3.6*1000000</f>
        <v>16.090800303688294</v>
      </c>
      <c r="G10" s="34"/>
      <c r="H10" s="33"/>
      <c r="I10" s="33"/>
      <c r="J10" s="40">
        <f>C32*'E Balans VL '!D20/100/3.6*1000000+C32*'E Balans VL '!E20/100/3.6*1000000</f>
        <v>0</v>
      </c>
      <c r="K10" s="33"/>
      <c r="L10" s="33"/>
      <c r="M10" s="33"/>
      <c r="N10" s="33">
        <f>C32*'E Balans VL '!Y20/100/3.6*1000000</f>
        <v>17.464708543176602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4666.8364180931894</v>
      </c>
      <c r="C15" s="33"/>
      <c r="D15" s="37">
        <f>IF( ISERROR(IND_rest_gas_kWh/1000),0,IND_rest_gas_kWh/1000)*0.902</f>
        <v>4515.5226461769771</v>
      </c>
      <c r="E15" s="33">
        <f>C37*'E Balans VL '!I15/100/3.6*1000000</f>
        <v>257.6837655490034</v>
      </c>
      <c r="F15" s="33">
        <f>C37*'E Balans VL '!L15/100/3.6*1000000+C37*'E Balans VL '!N15/100/3.6*1000000</f>
        <v>924.3606136249125</v>
      </c>
      <c r="G15" s="34"/>
      <c r="H15" s="33"/>
      <c r="I15" s="33"/>
      <c r="J15" s="40">
        <f>C37*'E Balans VL '!D15/100/3.6*1000000+C37*'E Balans VL '!E15/100/3.6*1000000</f>
        <v>16.70718563394945</v>
      </c>
      <c r="K15" s="33"/>
      <c r="L15" s="33"/>
      <c r="M15" s="33"/>
      <c r="N15" s="33">
        <f>C37*'E Balans VL '!Y15/100/3.6*1000000</f>
        <v>1046.8446620092764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6316.8626574122227</v>
      </c>
      <c r="C18" s="21">
        <f>C5+C16</f>
        <v>0</v>
      </c>
      <c r="D18" s="21">
        <f>MAX((D5+D16),0)</f>
        <v>5129.4356840873388</v>
      </c>
      <c r="E18" s="21">
        <f>MAX((E5+E16),0)</f>
        <v>666.57504035172133</v>
      </c>
      <c r="F18" s="21">
        <f>MAX((F5+F16),0)</f>
        <v>2063.0070534098136</v>
      </c>
      <c r="G18" s="21"/>
      <c r="H18" s="21"/>
      <c r="I18" s="21"/>
      <c r="J18" s="21">
        <f>MAX((J5+J16),0)</f>
        <v>16.70718563394945</v>
      </c>
      <c r="K18" s="21"/>
      <c r="L18" s="21">
        <f>MAX((L5+L16),0)</f>
        <v>0</v>
      </c>
      <c r="M18" s="21"/>
      <c r="N18" s="21">
        <f>MAX((N5+N16),0)</f>
        <v>1525.8835521740791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0.18291647837801189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1155.4582716914135</v>
      </c>
      <c r="C22" s="23">
        <f ca="1">C18*C20</f>
        <v>0</v>
      </c>
      <c r="D22" s="23">
        <f>D18*D20</f>
        <v>1036.1460081856426</v>
      </c>
      <c r="E22" s="23">
        <f>E18*E20</f>
        <v>151.31253415984074</v>
      </c>
      <c r="F22" s="23">
        <f>F18*F20</f>
        <v>550.82288326042021</v>
      </c>
      <c r="G22" s="23"/>
      <c r="H22" s="23"/>
      <c r="I22" s="23"/>
      <c r="J22" s="23">
        <f>J18*J20</f>
        <v>5.9143437144181048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1396.9507156540199</v>
      </c>
      <c r="C31" s="39">
        <f>IF(ISERROR(B31*3.6/1000000/'E Balans VL '!Z19*100),0,B31*3.6/1000000/'E Balans VL '!Z19*100)</f>
        <v>6.3359867660526009E-2</v>
      </c>
      <c r="D31" s="237" t="s">
        <v>754</v>
      </c>
    </row>
    <row r="32" spans="1:18">
      <c r="A32" s="171" t="s">
        <v>41</v>
      </c>
      <c r="B32" s="37">
        <f>IF( ISERROR(IND_voed_ele_kWh/1000),0,IND_voed_ele_kWh/1000)</f>
        <v>253.07552366501301</v>
      </c>
      <c r="C32" s="39">
        <f>IF(ISERROR(B32*3.6/1000000/'E Balans VL '!Z20*100),0,B32*3.6/1000000/'E Balans VL '!Z20*100)</f>
        <v>7.8287748128312365E-3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4666.8364180931894</v>
      </c>
      <c r="C37" s="39">
        <f>IF(ISERROR(B37*3.6/1000000/'E Balans VL '!Z15*100),0,B37*3.6/1000000/'E Balans VL '!Z15*100)</f>
        <v>3.6990410033595593E-2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942.29020648593826</v>
      </c>
      <c r="C5" s="17">
        <f>'Eigen informatie GS &amp; warmtenet'!B60</f>
        <v>0</v>
      </c>
      <c r="D5" s="30">
        <f>IF(ISERROR(SUM(LB_lb_gas_kWh,LB_rest_gas_kWh,onbekend_gas_kWh)/1000),0,SUM(LB_lb_gas_kWh,LB_rest_gas_kWh,onbekend_gas_kWh)/1000)*0.902</f>
        <v>1093.2583662494294</v>
      </c>
      <c r="E5" s="17">
        <f>B17*'E Balans VL '!I25/3.6*1000000/100</f>
        <v>27.696787255105395</v>
      </c>
      <c r="F5" s="17">
        <f>B17*('E Balans VL '!L25/3.6*1000000+'E Balans VL '!N25/3.6*1000000)/100</f>
        <v>3925.5300815302644</v>
      </c>
      <c r="G5" s="18"/>
      <c r="H5" s="17"/>
      <c r="I5" s="17"/>
      <c r="J5" s="17">
        <f>('E Balans VL '!D25+'E Balans VL '!E25)/3.6*1000000*landbouw!B17/100</f>
        <v>136.51761500598997</v>
      </c>
      <c r="K5" s="17"/>
      <c r="L5" s="17">
        <f>L6*(-1)</f>
        <v>9779.0625</v>
      </c>
      <c r="M5" s="17"/>
      <c r="N5" s="17">
        <f>N6*(-1)</f>
        <v>0</v>
      </c>
      <c r="O5" s="17"/>
      <c r="P5" s="17"/>
      <c r="R5" s="32"/>
    </row>
    <row r="6" spans="1:18">
      <c r="A6" s="16" t="s">
        <v>488</v>
      </c>
      <c r="B6" s="17" t="s">
        <v>211</v>
      </c>
      <c r="C6" s="17">
        <f>'lokale energieproductie'!O91+'lokale energieproductie'!O60</f>
        <v>5867.4375</v>
      </c>
      <c r="D6" s="310">
        <f>('lokale energieproductie'!P60+'lokale energieproductie'!P91)*(-1)</f>
        <v>0</v>
      </c>
      <c r="E6" s="248"/>
      <c r="F6" s="310">
        <f>('lokale energieproductie'!S60+'lokale energieproductie'!S91)*(-1)</f>
        <v>-3259.6875</v>
      </c>
      <c r="G6" s="249"/>
      <c r="H6" s="248"/>
      <c r="I6" s="248"/>
      <c r="J6" s="248"/>
      <c r="K6" s="248"/>
      <c r="L6" s="310">
        <f>('lokale energieproductie'!T60+'lokale energieproductie'!U60+'lokale energieproductie'!T91+'lokale energieproductie'!U91)*(-1)</f>
        <v>-9779.0625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942.29020648593826</v>
      </c>
      <c r="C8" s="21">
        <f>C5+C6</f>
        <v>5867.4375</v>
      </c>
      <c r="D8" s="21">
        <f>MAX((D5+D6),0)</f>
        <v>1093.2583662494294</v>
      </c>
      <c r="E8" s="21">
        <f>MAX((E5+E6),0)</f>
        <v>27.696787255105395</v>
      </c>
      <c r="F8" s="21">
        <f>MAX((F5+F6),0)</f>
        <v>665.8425815302644</v>
      </c>
      <c r="G8" s="21"/>
      <c r="H8" s="21"/>
      <c r="I8" s="21"/>
      <c r="J8" s="21">
        <f>MAX((J5+J6),0)</f>
        <v>136.51761500598997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0.18291647837801189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172.36040618049748</v>
      </c>
      <c r="C12" s="23">
        <f ca="1">C8*C10</f>
        <v>460.76641544117649</v>
      </c>
      <c r="D12" s="23">
        <f>D8*D10</f>
        <v>220.83818998238476</v>
      </c>
      <c r="E12" s="23">
        <f>E8*E10</f>
        <v>6.2871707069089249</v>
      </c>
      <c r="F12" s="23">
        <f>F8*F10</f>
        <v>177.7799692685806</v>
      </c>
      <c r="G12" s="23"/>
      <c r="H12" s="23"/>
      <c r="I12" s="23"/>
      <c r="J12" s="23">
        <f>J8*J10</f>
        <v>48.327235712120448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0.13371393664571818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108.31237599141521</v>
      </c>
      <c r="C26" s="247">
        <f>B26*'GWP N2O_CH4'!B5</f>
        <v>2274.5598958197193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13.698180762141339</v>
      </c>
      <c r="C27" s="247">
        <f>B27*'GWP N2O_CH4'!B5</f>
        <v>287.6617960049681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1.3674406896862774</v>
      </c>
      <c r="C28" s="247">
        <f>B28*'GWP N2O_CH4'!B4</f>
        <v>423.90661380274599</v>
      </c>
      <c r="D28" s="50"/>
    </row>
    <row r="29" spans="1:4">
      <c r="A29" s="41" t="s">
        <v>277</v>
      </c>
      <c r="B29" s="247">
        <f>B34*'ha_N2O bodem landbouw'!B4</f>
        <v>6.2943321356791806</v>
      </c>
      <c r="C29" s="247">
        <f>B29*'GWP N2O_CH4'!B4</f>
        <v>1951.242962060546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1.4363449021284698E-3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9.0249208150100261E-5</v>
      </c>
      <c r="C5" s="463" t="s">
        <v>211</v>
      </c>
      <c r="D5" s="448">
        <f>SUM(D6:D11)</f>
        <v>3.4129608148893528E-4</v>
      </c>
      <c r="E5" s="448">
        <f>SUM(E6:E11)</f>
        <v>4.499733934035646E-4</v>
      </c>
      <c r="F5" s="461" t="s">
        <v>211</v>
      </c>
      <c r="G5" s="448">
        <f>SUM(G6:G11)</f>
        <v>0.16893336992910019</v>
      </c>
      <c r="H5" s="448">
        <f>SUM(H6:H11)</f>
        <v>3.8310753315810561E-2</v>
      </c>
      <c r="I5" s="463" t="s">
        <v>211</v>
      </c>
      <c r="J5" s="463" t="s">
        <v>211</v>
      </c>
      <c r="K5" s="463" t="s">
        <v>211</v>
      </c>
      <c r="L5" s="463" t="s">
        <v>211</v>
      </c>
      <c r="M5" s="448">
        <f>SUM(M6:M11)</f>
        <v>1.1007065332934543E-2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5.9995245783613748E-5</v>
      </c>
      <c r="C6" s="449"/>
      <c r="D6" s="962">
        <f>vkm_2011_GW_PW*SUMIFS(TableVerdeelsleutelVkm[CNG],TableVerdeelsleutelVkm[Voertuigtype],"Lichte voertuigen")*SUMIFS(TableECFTransport[EnergieConsumptieFactor (PJ per km)],TableECFTransport[Index],CONCATENATE($A6,"_CNG_CNG"))</f>
        <v>1.799513032119247E-4</v>
      </c>
      <c r="E6" s="962">
        <f>vkm_2011_GW_PW*SUMIFS(TableVerdeelsleutelVkm[LPG],TableVerdeelsleutelVkm[Voertuigtype],"Lichte voertuigen")*SUMIFS(TableECFTransport[EnergieConsumptieFactor (PJ per km)],TableECFTransport[Index],CONCATENATE($A6,"_LPG_LPG"))</f>
        <v>2.4583932891831183E-4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6.3562781008280306E-2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2.0463810248577338E-2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4.3209884084661181E-3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3.8236591649564548E-2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1.1651697851316455E-5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2.2344194513747116E-3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3.0253962366486509E-5</v>
      </c>
      <c r="C8" s="449"/>
      <c r="D8" s="451">
        <f>vkm_2011_NGW_PW*SUMIFS(TableVerdeelsleutelVkm[CNG],TableVerdeelsleutelVkm[Voertuigtype],"Lichte voertuigen")*SUMIFS(TableECFTransport[EnergieConsumptieFactor (PJ per km)],TableECFTransport[Index],CONCATENATE($A8,"_CNG_CNG"))</f>
        <v>1.6134477827701058E-4</v>
      </c>
      <c r="E8" s="451">
        <f>vkm_2011_NGW_PW*SUMIFS(TableVerdeelsleutelVkm[LPG],TableVerdeelsleutelVkm[Voertuigtype],"Lichte voertuigen")*SUMIFS(TableECFTransport[EnergieConsumptieFactor (PJ per km)],TableECFTransport[Index],CONCATENATE($A8,"_LPG_LPG"))</f>
        <v>2.0413406448525274E-4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4.9185106500345036E-2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1.7830142307543789E-2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3.4027934032179893E-3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1.7948890770910279E-2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5.1490618381120059E-6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1.0488640698757237E-3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25.06922448613896</v>
      </c>
      <c r="C14" s="21"/>
      <c r="D14" s="21">
        <f t="shared" ref="D14:M14" si="0">((D5)*10^9/3600)+D12</f>
        <v>94.804467080259798</v>
      </c>
      <c r="E14" s="21">
        <f t="shared" si="0"/>
        <v>124.99260927876794</v>
      </c>
      <c r="F14" s="21"/>
      <c r="G14" s="21">
        <f t="shared" si="0"/>
        <v>46925.936091416719</v>
      </c>
      <c r="H14" s="21">
        <f t="shared" si="0"/>
        <v>10641.875921058489</v>
      </c>
      <c r="I14" s="21"/>
      <c r="J14" s="21"/>
      <c r="K14" s="21"/>
      <c r="L14" s="21"/>
      <c r="M14" s="21">
        <f t="shared" si="0"/>
        <v>3057.5181480373731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0.18291647837801189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4.5855742586723638</v>
      </c>
      <c r="C18" s="23"/>
      <c r="D18" s="23">
        <f t="shared" ref="D18:M18" si="1">D14*D16</f>
        <v>19.150502350212481</v>
      </c>
      <c r="E18" s="23">
        <f t="shared" si="1"/>
        <v>28.373322306280325</v>
      </c>
      <c r="F18" s="23"/>
      <c r="G18" s="23">
        <f t="shared" si="1"/>
        <v>12529.224936408265</v>
      </c>
      <c r="H18" s="23">
        <f t="shared" si="1"/>
        <v>2649.8271043435639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2.1386483056055365E-3</v>
      </c>
      <c r="H50" s="321">
        <f t="shared" si="2"/>
        <v>0</v>
      </c>
      <c r="I50" s="321">
        <f t="shared" si="2"/>
        <v>0</v>
      </c>
      <c r="J50" s="321">
        <f t="shared" si="2"/>
        <v>0</v>
      </c>
      <c r="K50" s="321">
        <f t="shared" si="2"/>
        <v>0</v>
      </c>
      <c r="L50" s="321">
        <f t="shared" si="2"/>
        <v>0</v>
      </c>
      <c r="M50" s="321">
        <f t="shared" si="2"/>
        <v>1.2146578253208967E-4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2.1386483056055365E-3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1.2146578253208967E-4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594.06897377931568</v>
      </c>
      <c r="H54" s="21">
        <f t="shared" si="3"/>
        <v>0</v>
      </c>
      <c r="I54" s="21">
        <f t="shared" si="3"/>
        <v>0</v>
      </c>
      <c r="J54" s="21">
        <f t="shared" si="3"/>
        <v>0</v>
      </c>
      <c r="K54" s="21">
        <f t="shared" si="3"/>
        <v>0</v>
      </c>
      <c r="L54" s="21">
        <f t="shared" si="3"/>
        <v>0</v>
      </c>
      <c r="M54" s="21">
        <f t="shared" si="3"/>
        <v>33.740495147802683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0.18291647837801189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158.6164159990773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4028.7097265242428</v>
      </c>
      <c r="C6" s="1263"/>
      <c r="D6" s="1248"/>
      <c r="E6" s="1248"/>
      <c r="F6" s="1266"/>
      <c r="G6" s="1269"/>
      <c r="H6" s="1260"/>
      <c r="I6" s="1248"/>
      <c r="J6" s="1248"/>
      <c r="K6" s="1248"/>
      <c r="L6" s="1252"/>
      <c r="M6" s="575"/>
      <c r="N6" s="1226"/>
      <c r="O6" s="1227"/>
      <c r="Q6" s="573"/>
      <c r="R6" s="1214"/>
      <c r="S6" s="1214"/>
    </row>
    <row r="7" spans="1:19" s="563" customFormat="1">
      <c r="A7" s="576" t="s">
        <v>252</v>
      </c>
      <c r="B7" s="577">
        <f>N57</f>
        <v>5215.5</v>
      </c>
      <c r="C7" s="578">
        <f>B100</f>
        <v>0</v>
      </c>
      <c r="D7" s="579"/>
      <c r="E7" s="579">
        <f>E100</f>
        <v>1533.9705882352941</v>
      </c>
      <c r="F7" s="580"/>
      <c r="G7" s="581"/>
      <c r="H7" s="579">
        <f>I100</f>
        <v>0</v>
      </c>
      <c r="I7" s="579">
        <f>G100+F100</f>
        <v>4601.911764705882</v>
      </c>
      <c r="J7" s="579">
        <f>H100+D100+C100</f>
        <v>0</v>
      </c>
      <c r="K7" s="579"/>
      <c r="L7" s="582"/>
      <c r="M7" s="583">
        <f>C7*$C$11+D7*$D$11+E7*$E$11+F7*$F$11+G7*$G$11+H7*$H$11+I7*$I$11+J7*$J$11</f>
        <v>409.57014705882358</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9244.2097265242428</v>
      </c>
      <c r="C9" s="594">
        <f t="shared" ref="C9:L9" si="0">SUM(C7:C8)</f>
        <v>0</v>
      </c>
      <c r="D9" s="594">
        <f t="shared" si="0"/>
        <v>0</v>
      </c>
      <c r="E9" s="594">
        <f t="shared" si="0"/>
        <v>1533.9705882352941</v>
      </c>
      <c r="F9" s="594">
        <f t="shared" si="0"/>
        <v>0</v>
      </c>
      <c r="G9" s="594">
        <f t="shared" si="0"/>
        <v>0</v>
      </c>
      <c r="H9" s="594">
        <f t="shared" si="0"/>
        <v>0</v>
      </c>
      <c r="I9" s="594">
        <f t="shared" si="0"/>
        <v>4601.911764705882</v>
      </c>
      <c r="J9" s="594">
        <f t="shared" si="0"/>
        <v>0</v>
      </c>
      <c r="K9" s="594">
        <f t="shared" si="0"/>
        <v>0</v>
      </c>
      <c r="L9" s="594">
        <f t="shared" si="0"/>
        <v>0</v>
      </c>
      <c r="M9" s="595">
        <f>SUM(M4:M8)</f>
        <v>409.57014705882358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5867.4375</v>
      </c>
      <c r="C16" s="610">
        <f>B101</f>
        <v>0</v>
      </c>
      <c r="D16" s="611"/>
      <c r="E16" s="611">
        <f>E101</f>
        <v>1725.7169117647059</v>
      </c>
      <c r="F16" s="612"/>
      <c r="G16" s="613"/>
      <c r="H16" s="610">
        <f>I101</f>
        <v>0</v>
      </c>
      <c r="I16" s="611">
        <f>G101+F101</f>
        <v>5177.150735294118</v>
      </c>
      <c r="J16" s="611">
        <f>H101+D101+C101</f>
        <v>0</v>
      </c>
      <c r="K16" s="611"/>
      <c r="L16" s="614"/>
      <c r="M16" s="615">
        <f>C16*$C$21+E16*$E$21+H16*$H$21+I16*$I$21+J16*$J$21+D16*$D$21+F16*$F$21+G16*$G$21+K16*$K$21+L16*$L$21</f>
        <v>460.76641544117649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5867.4375</v>
      </c>
      <c r="C19" s="593">
        <f>SUM(C16:C18)</f>
        <v>0</v>
      </c>
      <c r="D19" s="593">
        <f t="shared" ref="D19:M19" si="1">SUM(D16:D18)</f>
        <v>0</v>
      </c>
      <c r="E19" s="593">
        <f t="shared" si="1"/>
        <v>1725.7169117647059</v>
      </c>
      <c r="F19" s="593">
        <f t="shared" si="1"/>
        <v>0</v>
      </c>
      <c r="G19" s="593">
        <f t="shared" si="1"/>
        <v>0</v>
      </c>
      <c r="H19" s="593">
        <f t="shared" si="1"/>
        <v>0</v>
      </c>
      <c r="I19" s="593">
        <f t="shared" si="1"/>
        <v>5177.150735294118</v>
      </c>
      <c r="J19" s="593">
        <f t="shared" si="1"/>
        <v>0</v>
      </c>
      <c r="K19" s="593">
        <f t="shared" si="1"/>
        <v>0</v>
      </c>
      <c r="L19" s="593">
        <f t="shared" si="1"/>
        <v>0</v>
      </c>
      <c r="M19" s="620">
        <f t="shared" si="1"/>
        <v>460.76641544117649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23060</v>
      </c>
      <c r="C27" s="851">
        <v>1745</v>
      </c>
      <c r="D27" s="672" t="s">
        <v>844</v>
      </c>
      <c r="E27" s="671" t="s">
        <v>845</v>
      </c>
      <c r="F27" s="671" t="s">
        <v>846</v>
      </c>
      <c r="G27" s="671" t="s">
        <v>847</v>
      </c>
      <c r="H27" s="671" t="s">
        <v>848</v>
      </c>
      <c r="I27" s="671" t="s">
        <v>845</v>
      </c>
      <c r="J27" s="850">
        <v>39066</v>
      </c>
      <c r="K27" s="850">
        <v>39063</v>
      </c>
      <c r="L27" s="671" t="s">
        <v>849</v>
      </c>
      <c r="M27" s="671">
        <v>720</v>
      </c>
      <c r="N27" s="671">
        <v>3240</v>
      </c>
      <c r="O27" s="671">
        <v>3645</v>
      </c>
      <c r="P27" s="671">
        <v>0</v>
      </c>
      <c r="Q27" s="671">
        <v>0</v>
      </c>
      <c r="R27" s="671">
        <v>0</v>
      </c>
      <c r="S27" s="671">
        <v>2025</v>
      </c>
      <c r="T27" s="671">
        <v>6075</v>
      </c>
      <c r="U27" s="671">
        <v>0</v>
      </c>
      <c r="V27" s="671">
        <v>0</v>
      </c>
      <c r="W27" s="671">
        <v>0</v>
      </c>
      <c r="X27" s="671">
        <v>10</v>
      </c>
      <c r="Y27" s="671" t="s">
        <v>112</v>
      </c>
      <c r="Z27" s="673" t="s">
        <v>112</v>
      </c>
    </row>
    <row r="28" spans="1:26" s="625" customFormat="1" ht="38.25">
      <c r="A28" s="624"/>
      <c r="B28" s="851">
        <v>23060</v>
      </c>
      <c r="C28" s="851">
        <v>1745</v>
      </c>
      <c r="D28" s="672" t="s">
        <v>850</v>
      </c>
      <c r="E28" s="671" t="s">
        <v>851</v>
      </c>
      <c r="F28" s="671" t="s">
        <v>852</v>
      </c>
      <c r="G28" s="671" t="s">
        <v>847</v>
      </c>
      <c r="H28" s="671" t="s">
        <v>848</v>
      </c>
      <c r="I28" s="671" t="s">
        <v>853</v>
      </c>
      <c r="J28" s="850">
        <v>40444</v>
      </c>
      <c r="K28" s="850">
        <v>40444</v>
      </c>
      <c r="L28" s="671" t="s">
        <v>849</v>
      </c>
      <c r="M28" s="671">
        <v>439</v>
      </c>
      <c r="N28" s="671">
        <v>1975.5</v>
      </c>
      <c r="O28" s="671">
        <v>2222.4375</v>
      </c>
      <c r="P28" s="671">
        <v>0</v>
      </c>
      <c r="Q28" s="671">
        <v>0</v>
      </c>
      <c r="R28" s="671">
        <v>0</v>
      </c>
      <c r="S28" s="671">
        <v>1234.6875</v>
      </c>
      <c r="T28" s="671">
        <v>3704.0625</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1159</v>
      </c>
      <c r="N57" s="629">
        <f>SUM(N27:N56)</f>
        <v>5215.5</v>
      </c>
      <c r="O57" s="629">
        <f t="shared" ref="O57:W57" si="2">SUM(O27:O56)</f>
        <v>5867.4375</v>
      </c>
      <c r="P57" s="629">
        <f t="shared" si="2"/>
        <v>0</v>
      </c>
      <c r="Q57" s="629">
        <f t="shared" si="2"/>
        <v>0</v>
      </c>
      <c r="R57" s="629">
        <f t="shared" si="2"/>
        <v>0</v>
      </c>
      <c r="S57" s="629">
        <f t="shared" si="2"/>
        <v>3259.6875</v>
      </c>
      <c r="T57" s="629">
        <f t="shared" si="2"/>
        <v>9779.0625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1159</v>
      </c>
      <c r="N60" s="634">
        <f t="shared" ref="N60:W60" si="4">SUMIF($Z$27:$Z$56,"landbouw",N27:N56)</f>
        <v>5215.5</v>
      </c>
      <c r="O60" s="634">
        <f t="shared" si="4"/>
        <v>5867.4375</v>
      </c>
      <c r="P60" s="634">
        <f t="shared" si="4"/>
        <v>0</v>
      </c>
      <c r="Q60" s="634">
        <f t="shared" si="4"/>
        <v>0</v>
      </c>
      <c r="R60" s="634">
        <f t="shared" si="4"/>
        <v>0</v>
      </c>
      <c r="S60" s="634">
        <f t="shared" si="4"/>
        <v>3259.6875</v>
      </c>
      <c r="T60" s="634">
        <f t="shared" si="4"/>
        <v>9779.0625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1533.9705882352941</v>
      </c>
      <c r="F100" s="663">
        <f t="shared" si="9"/>
        <v>4601.911764705882</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1725.7169117647059</v>
      </c>
      <c r="F101" s="666">
        <f t="shared" si="10"/>
        <v>5177.150735294118</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8912.6218620629224</v>
      </c>
      <c r="D10" s="718">
        <f ca="1">tertiair!C16</f>
        <v>0</v>
      </c>
      <c r="E10" s="718">
        <f ca="1">tertiair!D16</f>
        <v>10786.529935795827</v>
      </c>
      <c r="F10" s="718">
        <f>tertiair!E16</f>
        <v>148.8042072948262</v>
      </c>
      <c r="G10" s="718">
        <f ca="1">tertiair!F16</f>
        <v>1399.7074123568034</v>
      </c>
      <c r="H10" s="718">
        <f>tertiair!G16</f>
        <v>0</v>
      </c>
      <c r="I10" s="718">
        <f>tertiair!H16</f>
        <v>0</v>
      </c>
      <c r="J10" s="718">
        <f>tertiair!I16</f>
        <v>0</v>
      </c>
      <c r="K10" s="718">
        <f>tertiair!J16</f>
        <v>1.2610141645049831E-2</v>
      </c>
      <c r="L10" s="718">
        <f>tertiair!K16</f>
        <v>0</v>
      </c>
      <c r="M10" s="718">
        <f ca="1">tertiair!L16</f>
        <v>0</v>
      </c>
      <c r="N10" s="718">
        <f>tertiair!M16</f>
        <v>0</v>
      </c>
      <c r="O10" s="718">
        <f ca="1">tertiair!N16</f>
        <v>506.2721689349155</v>
      </c>
      <c r="P10" s="718">
        <f>tertiair!O16</f>
        <v>1.5633333333333335</v>
      </c>
      <c r="Q10" s="719">
        <f>tertiair!P16</f>
        <v>19.066666666666666</v>
      </c>
      <c r="R10" s="721">
        <f ca="1">SUM(C10:Q10)</f>
        <v>21774.578196586939</v>
      </c>
      <c r="S10" s="67"/>
    </row>
    <row r="11" spans="1:19" s="474" customFormat="1">
      <c r="A11" s="870" t="s">
        <v>225</v>
      </c>
      <c r="B11" s="875"/>
      <c r="C11" s="718">
        <f>huishoudens!B8</f>
        <v>26693.102486648135</v>
      </c>
      <c r="D11" s="718">
        <f>huishoudens!C8</f>
        <v>0</v>
      </c>
      <c r="E11" s="718">
        <f>huishoudens!D8</f>
        <v>45341.476705482906</v>
      </c>
      <c r="F11" s="718">
        <f>huishoudens!E8</f>
        <v>1812.2362881796498</v>
      </c>
      <c r="G11" s="718">
        <f>huishoudens!F8</f>
        <v>12931.199177426124</v>
      </c>
      <c r="H11" s="718">
        <f>huishoudens!G8</f>
        <v>0</v>
      </c>
      <c r="I11" s="718">
        <f>huishoudens!H8</f>
        <v>0</v>
      </c>
      <c r="J11" s="718">
        <f>huishoudens!I8</f>
        <v>0</v>
      </c>
      <c r="K11" s="718">
        <f>huishoudens!J8</f>
        <v>0</v>
      </c>
      <c r="L11" s="718">
        <f>huishoudens!K8</f>
        <v>0</v>
      </c>
      <c r="M11" s="718">
        <f>huishoudens!L8</f>
        <v>0</v>
      </c>
      <c r="N11" s="718">
        <f>huishoudens!M8</f>
        <v>0</v>
      </c>
      <c r="O11" s="718">
        <f>huishoudens!N8</f>
        <v>10422.004876769141</v>
      </c>
      <c r="P11" s="718">
        <f>huishoudens!O8</f>
        <v>189.16333333333336</v>
      </c>
      <c r="Q11" s="719">
        <f>huishoudens!P8</f>
        <v>1258.4000000000001</v>
      </c>
      <c r="R11" s="721">
        <f>SUM(C11:Q11)</f>
        <v>98647.582867839286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6316.8626574122227</v>
      </c>
      <c r="D13" s="718">
        <f>industrie!C18</f>
        <v>0</v>
      </c>
      <c r="E13" s="718">
        <f>industrie!D18</f>
        <v>5129.4356840873388</v>
      </c>
      <c r="F13" s="718">
        <f>industrie!E18</f>
        <v>666.57504035172133</v>
      </c>
      <c r="G13" s="718">
        <f>industrie!F18</f>
        <v>2063.0070534098136</v>
      </c>
      <c r="H13" s="718">
        <f>industrie!G18</f>
        <v>0</v>
      </c>
      <c r="I13" s="718">
        <f>industrie!H18</f>
        <v>0</v>
      </c>
      <c r="J13" s="718">
        <f>industrie!I18</f>
        <v>0</v>
      </c>
      <c r="K13" s="718">
        <f>industrie!J18</f>
        <v>16.70718563394945</v>
      </c>
      <c r="L13" s="718">
        <f>industrie!K18</f>
        <v>0</v>
      </c>
      <c r="M13" s="718">
        <f>industrie!L18</f>
        <v>0</v>
      </c>
      <c r="N13" s="718">
        <f>industrie!M18</f>
        <v>0</v>
      </c>
      <c r="O13" s="718">
        <f>industrie!N18</f>
        <v>1525.8835521740791</v>
      </c>
      <c r="P13" s="718">
        <f>industrie!O18</f>
        <v>0</v>
      </c>
      <c r="Q13" s="719">
        <f>industrie!P18</f>
        <v>0</v>
      </c>
      <c r="R13" s="721">
        <f>SUM(C13:Q13)</f>
        <v>15718.471173069125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41922.587006123278</v>
      </c>
      <c r="D15" s="723">
        <f t="shared" ref="D15:Q15" ca="1" si="0">SUM(D9:D14)</f>
        <v>0</v>
      </c>
      <c r="E15" s="723">
        <f t="shared" ca="1" si="0"/>
        <v>61257.442325366072</v>
      </c>
      <c r="F15" s="723">
        <f t="shared" si="0"/>
        <v>2627.6155358261976</v>
      </c>
      <c r="G15" s="723">
        <f t="shared" ca="1" si="0"/>
        <v>16393.91364319274</v>
      </c>
      <c r="H15" s="723">
        <f t="shared" si="0"/>
        <v>0</v>
      </c>
      <c r="I15" s="723">
        <f t="shared" si="0"/>
        <v>0</v>
      </c>
      <c r="J15" s="723">
        <f t="shared" si="0"/>
        <v>0</v>
      </c>
      <c r="K15" s="723">
        <f t="shared" si="0"/>
        <v>16.719795775594498</v>
      </c>
      <c r="L15" s="723">
        <f t="shared" si="0"/>
        <v>0</v>
      </c>
      <c r="M15" s="723">
        <f t="shared" ca="1" si="0"/>
        <v>0</v>
      </c>
      <c r="N15" s="723">
        <f t="shared" si="0"/>
        <v>0</v>
      </c>
      <c r="O15" s="723">
        <f t="shared" ca="1" si="0"/>
        <v>12454.160597878135</v>
      </c>
      <c r="P15" s="723">
        <f t="shared" si="0"/>
        <v>190.72666666666669</v>
      </c>
      <c r="Q15" s="724">
        <f t="shared" si="0"/>
        <v>1277.4666666666667</v>
      </c>
      <c r="R15" s="725">
        <f ca="1">SUM(R9:R14)</f>
        <v>136140.63223749536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594.06897377931568</v>
      </c>
      <c r="I18" s="718">
        <f>transport!H54</f>
        <v>0</v>
      </c>
      <c r="J18" s="718">
        <f>transport!I54</f>
        <v>0</v>
      </c>
      <c r="K18" s="718">
        <f>transport!J54</f>
        <v>0</v>
      </c>
      <c r="L18" s="718">
        <f>transport!K54</f>
        <v>0</v>
      </c>
      <c r="M18" s="718">
        <f>transport!L54</f>
        <v>0</v>
      </c>
      <c r="N18" s="718">
        <f>transport!M54</f>
        <v>33.740495147802683</v>
      </c>
      <c r="O18" s="718">
        <f>transport!N54</f>
        <v>0</v>
      </c>
      <c r="P18" s="718">
        <f>transport!O54</f>
        <v>0</v>
      </c>
      <c r="Q18" s="719">
        <f>transport!P54</f>
        <v>0</v>
      </c>
      <c r="R18" s="721">
        <f>SUM(C18:Q18)</f>
        <v>627.80946892711836</v>
      </c>
      <c r="S18" s="67"/>
    </row>
    <row r="19" spans="1:19" s="474" customFormat="1" ht="15" thickBot="1">
      <c r="A19" s="870" t="s">
        <v>307</v>
      </c>
      <c r="B19" s="875"/>
      <c r="C19" s="727">
        <f>transport!B14</f>
        <v>25.06922448613896</v>
      </c>
      <c r="D19" s="727">
        <f>transport!C14</f>
        <v>0</v>
      </c>
      <c r="E19" s="727">
        <f>transport!D14</f>
        <v>94.804467080259798</v>
      </c>
      <c r="F19" s="727">
        <f>transport!E14</f>
        <v>124.99260927876794</v>
      </c>
      <c r="G19" s="727">
        <f>transport!F14</f>
        <v>0</v>
      </c>
      <c r="H19" s="727">
        <f>transport!G14</f>
        <v>46925.936091416719</v>
      </c>
      <c r="I19" s="727">
        <f>transport!H14</f>
        <v>10641.875921058489</v>
      </c>
      <c r="J19" s="727">
        <f>transport!I14</f>
        <v>0</v>
      </c>
      <c r="K19" s="727">
        <f>transport!J14</f>
        <v>0</v>
      </c>
      <c r="L19" s="727">
        <f>transport!K14</f>
        <v>0</v>
      </c>
      <c r="M19" s="727">
        <f>transport!L14</f>
        <v>0</v>
      </c>
      <c r="N19" s="727">
        <f>transport!M14</f>
        <v>3057.5181480373731</v>
      </c>
      <c r="O19" s="727">
        <f>transport!N14</f>
        <v>0</v>
      </c>
      <c r="P19" s="727">
        <f>transport!O14</f>
        <v>0</v>
      </c>
      <c r="Q19" s="728">
        <f>transport!P14</f>
        <v>0</v>
      </c>
      <c r="R19" s="729">
        <f>SUM(C19:Q19)</f>
        <v>60870.196461357751</v>
      </c>
      <c r="S19" s="67"/>
    </row>
    <row r="20" spans="1:19" s="474" customFormat="1" ht="15.75" thickBot="1">
      <c r="A20" s="730" t="s">
        <v>230</v>
      </c>
      <c r="B20" s="878"/>
      <c r="C20" s="873">
        <f>SUM(C17:C19)</f>
        <v>25.06922448613896</v>
      </c>
      <c r="D20" s="731">
        <f t="shared" ref="D20:R20" si="1">SUM(D17:D19)</f>
        <v>0</v>
      </c>
      <c r="E20" s="731">
        <f t="shared" si="1"/>
        <v>94.804467080259798</v>
      </c>
      <c r="F20" s="731">
        <f t="shared" si="1"/>
        <v>124.99260927876794</v>
      </c>
      <c r="G20" s="731">
        <f t="shared" si="1"/>
        <v>0</v>
      </c>
      <c r="H20" s="731">
        <f t="shared" si="1"/>
        <v>47520.005065196034</v>
      </c>
      <c r="I20" s="731">
        <f t="shared" si="1"/>
        <v>10641.875921058489</v>
      </c>
      <c r="J20" s="731">
        <f t="shared" si="1"/>
        <v>0</v>
      </c>
      <c r="K20" s="731">
        <f t="shared" si="1"/>
        <v>0</v>
      </c>
      <c r="L20" s="731">
        <f t="shared" si="1"/>
        <v>0</v>
      </c>
      <c r="M20" s="731">
        <f t="shared" si="1"/>
        <v>0</v>
      </c>
      <c r="N20" s="731">
        <f t="shared" si="1"/>
        <v>3091.258643185176</v>
      </c>
      <c r="O20" s="731">
        <f t="shared" si="1"/>
        <v>0</v>
      </c>
      <c r="P20" s="731">
        <f t="shared" si="1"/>
        <v>0</v>
      </c>
      <c r="Q20" s="732">
        <f t="shared" si="1"/>
        <v>0</v>
      </c>
      <c r="R20" s="733">
        <f t="shared" si="1"/>
        <v>61498.005930284868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942.29020648593826</v>
      </c>
      <c r="D22" s="727">
        <f>+landbouw!C8</f>
        <v>5867.4375</v>
      </c>
      <c r="E22" s="727">
        <f>+landbouw!D8</f>
        <v>1093.2583662494294</v>
      </c>
      <c r="F22" s="727">
        <f>+landbouw!E8</f>
        <v>27.696787255105395</v>
      </c>
      <c r="G22" s="727">
        <f>+landbouw!F8</f>
        <v>665.8425815302644</v>
      </c>
      <c r="H22" s="727">
        <f>+landbouw!G8</f>
        <v>0</v>
      </c>
      <c r="I22" s="727">
        <f>+landbouw!H8</f>
        <v>0</v>
      </c>
      <c r="J22" s="727">
        <f>+landbouw!I8</f>
        <v>0</v>
      </c>
      <c r="K22" s="727">
        <f>+landbouw!J8</f>
        <v>136.51761500598997</v>
      </c>
      <c r="L22" s="727">
        <f>+landbouw!K8</f>
        <v>0</v>
      </c>
      <c r="M22" s="727">
        <f>+landbouw!L8</f>
        <v>0</v>
      </c>
      <c r="N22" s="727">
        <f>+landbouw!M8</f>
        <v>0</v>
      </c>
      <c r="O22" s="727">
        <f>+landbouw!N8</f>
        <v>0</v>
      </c>
      <c r="P22" s="727">
        <f>+landbouw!O8</f>
        <v>0</v>
      </c>
      <c r="Q22" s="728">
        <f>+landbouw!P8</f>
        <v>0</v>
      </c>
      <c r="R22" s="729">
        <f>SUM(C22:Q22)</f>
        <v>8733.0430565267288</v>
      </c>
      <c r="S22" s="67"/>
    </row>
    <row r="23" spans="1:19" s="474" customFormat="1" ht="17.25" thickTop="1" thickBot="1">
      <c r="A23" s="734" t="s">
        <v>116</v>
      </c>
      <c r="B23" s="864"/>
      <c r="C23" s="735">
        <f ca="1">C20+C15+C22</f>
        <v>42889.946437095357</v>
      </c>
      <c r="D23" s="735">
        <f t="shared" ref="D23:Q23" ca="1" si="2">D20+D15+D22</f>
        <v>5867.4375</v>
      </c>
      <c r="E23" s="735">
        <f t="shared" ca="1" si="2"/>
        <v>62445.505158695763</v>
      </c>
      <c r="F23" s="735">
        <f t="shared" si="2"/>
        <v>2780.3049323600708</v>
      </c>
      <c r="G23" s="735">
        <f t="shared" ca="1" si="2"/>
        <v>17059.756224723005</v>
      </c>
      <c r="H23" s="735">
        <f t="shared" si="2"/>
        <v>47520.005065196034</v>
      </c>
      <c r="I23" s="735">
        <f t="shared" si="2"/>
        <v>10641.875921058489</v>
      </c>
      <c r="J23" s="735">
        <f t="shared" si="2"/>
        <v>0</v>
      </c>
      <c r="K23" s="735">
        <f t="shared" si="2"/>
        <v>153.23741078158446</v>
      </c>
      <c r="L23" s="735">
        <f t="shared" si="2"/>
        <v>0</v>
      </c>
      <c r="M23" s="735">
        <f t="shared" ca="1" si="2"/>
        <v>0</v>
      </c>
      <c r="N23" s="735">
        <f t="shared" si="2"/>
        <v>3091.258643185176</v>
      </c>
      <c r="O23" s="735">
        <f t="shared" ca="1" si="2"/>
        <v>12454.160597878135</v>
      </c>
      <c r="P23" s="735">
        <f t="shared" si="2"/>
        <v>190.72666666666669</v>
      </c>
      <c r="Q23" s="736">
        <f t="shared" si="2"/>
        <v>1277.4666666666667</v>
      </c>
      <c r="R23" s="737">
        <f ca="1">R20+R15+R22</f>
        <v>206371.68122430696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1630.2654041234287</v>
      </c>
      <c r="D36" s="718">
        <f ca="1">tertiair!C20</f>
        <v>0</v>
      </c>
      <c r="E36" s="718">
        <f ca="1">tertiair!D20</f>
        <v>2178.8790470307572</v>
      </c>
      <c r="F36" s="718">
        <f>tertiair!E20</f>
        <v>33.778555055925551</v>
      </c>
      <c r="G36" s="718">
        <f ca="1">tertiair!F20</f>
        <v>373.72187909926652</v>
      </c>
      <c r="H36" s="718">
        <f>tertiair!G20</f>
        <v>0</v>
      </c>
      <c r="I36" s="718">
        <f>tertiair!H20</f>
        <v>0</v>
      </c>
      <c r="J36" s="718">
        <f>tertiair!I20</f>
        <v>0</v>
      </c>
      <c r="K36" s="718">
        <f>tertiair!J20</f>
        <v>4.4639901423476399E-3</v>
      </c>
      <c r="L36" s="718">
        <f>tertiair!K20</f>
        <v>0</v>
      </c>
      <c r="M36" s="718">
        <f ca="1">tertiair!L20</f>
        <v>0</v>
      </c>
      <c r="N36" s="718">
        <f>tertiair!M20</f>
        <v>0</v>
      </c>
      <c r="O36" s="718">
        <f ca="1">tertiair!N20</f>
        <v>0</v>
      </c>
      <c r="P36" s="718">
        <f>tertiair!O20</f>
        <v>0</v>
      </c>
      <c r="Q36" s="828">
        <f>tertiair!P20</f>
        <v>0</v>
      </c>
      <c r="R36" s="917">
        <f ca="1">SUM(C36:Q36)</f>
        <v>4216.6493492995205</v>
      </c>
    </row>
    <row r="37" spans="1:18">
      <c r="A37" s="885" t="s">
        <v>225</v>
      </c>
      <c r="B37" s="892"/>
      <c r="C37" s="718">
        <f ca="1">huishoudens!B12</f>
        <v>4882.6083038410288</v>
      </c>
      <c r="D37" s="718">
        <f ca="1">huishoudens!C12</f>
        <v>0</v>
      </c>
      <c r="E37" s="718">
        <f>huishoudens!D12</f>
        <v>9158.9782945075476</v>
      </c>
      <c r="F37" s="718">
        <f>huishoudens!E12</f>
        <v>411.37763741678054</v>
      </c>
      <c r="G37" s="718">
        <f>huishoudens!F12</f>
        <v>3452.6301803727752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17905.594416138134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1155.4582716914135</v>
      </c>
      <c r="D39" s="718">
        <f ca="1">industrie!C22</f>
        <v>0</v>
      </c>
      <c r="E39" s="718">
        <f>industrie!D22</f>
        <v>1036.1460081856426</v>
      </c>
      <c r="F39" s="718">
        <f>industrie!E22</f>
        <v>151.31253415984074</v>
      </c>
      <c r="G39" s="718">
        <f>industrie!F22</f>
        <v>550.82288326042021</v>
      </c>
      <c r="H39" s="718">
        <f>industrie!G22</f>
        <v>0</v>
      </c>
      <c r="I39" s="718">
        <f>industrie!H22</f>
        <v>0</v>
      </c>
      <c r="J39" s="718">
        <f>industrie!I22</f>
        <v>0</v>
      </c>
      <c r="K39" s="718">
        <f>industrie!J22</f>
        <v>5.9143437144181048</v>
      </c>
      <c r="L39" s="718">
        <f>industrie!K22</f>
        <v>0</v>
      </c>
      <c r="M39" s="718">
        <f>industrie!L22</f>
        <v>0</v>
      </c>
      <c r="N39" s="718">
        <f>industrie!M22</f>
        <v>0</v>
      </c>
      <c r="O39" s="718">
        <f>industrie!N22</f>
        <v>0</v>
      </c>
      <c r="P39" s="718">
        <f>industrie!O22</f>
        <v>0</v>
      </c>
      <c r="Q39" s="828">
        <f>industrie!P22</f>
        <v>0</v>
      </c>
      <c r="R39" s="918">
        <f ca="1">SUM(C39:Q39)</f>
        <v>2899.6540410117345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7668.3319796558717</v>
      </c>
      <c r="D41" s="763">
        <f t="shared" ref="D41:R41" ca="1" si="4">SUM(D35:D40)</f>
        <v>0</v>
      </c>
      <c r="E41" s="763">
        <f t="shared" ca="1" si="4"/>
        <v>12374.003349723947</v>
      </c>
      <c r="F41" s="763">
        <f t="shared" si="4"/>
        <v>596.4687266325468</v>
      </c>
      <c r="G41" s="763">
        <f t="shared" ca="1" si="4"/>
        <v>4377.1749427324621</v>
      </c>
      <c r="H41" s="763">
        <f t="shared" si="4"/>
        <v>0</v>
      </c>
      <c r="I41" s="763">
        <f t="shared" si="4"/>
        <v>0</v>
      </c>
      <c r="J41" s="763">
        <f t="shared" si="4"/>
        <v>0</v>
      </c>
      <c r="K41" s="763">
        <f t="shared" si="4"/>
        <v>5.9188077045604528</v>
      </c>
      <c r="L41" s="763">
        <f t="shared" si="4"/>
        <v>0</v>
      </c>
      <c r="M41" s="763">
        <f t="shared" ca="1" si="4"/>
        <v>0</v>
      </c>
      <c r="N41" s="763">
        <f t="shared" si="4"/>
        <v>0</v>
      </c>
      <c r="O41" s="763">
        <f t="shared" ca="1" si="4"/>
        <v>0</v>
      </c>
      <c r="P41" s="763">
        <f t="shared" si="4"/>
        <v>0</v>
      </c>
      <c r="Q41" s="764">
        <f t="shared" si="4"/>
        <v>0</v>
      </c>
      <c r="R41" s="765">
        <f t="shared" ca="1" si="4"/>
        <v>25021.897806449389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158.6164159990773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158.6164159990773</v>
      </c>
    </row>
    <row r="45" spans="1:18" ht="15" thickBot="1">
      <c r="A45" s="888" t="s">
        <v>307</v>
      </c>
      <c r="B45" s="898"/>
      <c r="C45" s="727">
        <f ca="1">transport!B18</f>
        <v>4.5855742586723638</v>
      </c>
      <c r="D45" s="727">
        <f>transport!C18</f>
        <v>0</v>
      </c>
      <c r="E45" s="727">
        <f>transport!D18</f>
        <v>19.150502350212481</v>
      </c>
      <c r="F45" s="727">
        <f>transport!E18</f>
        <v>28.373322306280325</v>
      </c>
      <c r="G45" s="727">
        <f>transport!F18</f>
        <v>0</v>
      </c>
      <c r="H45" s="727">
        <f>transport!G18</f>
        <v>12529.224936408265</v>
      </c>
      <c r="I45" s="727">
        <f>transport!H18</f>
        <v>2649.8271043435639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15231.161439666994</v>
      </c>
    </row>
    <row r="46" spans="1:18" ht="15.75" thickBot="1">
      <c r="A46" s="886" t="s">
        <v>230</v>
      </c>
      <c r="B46" s="899"/>
      <c r="C46" s="763">
        <f t="shared" ref="C46:R46" ca="1" si="5">SUM(C43:C45)</f>
        <v>4.5855742586723638</v>
      </c>
      <c r="D46" s="763">
        <f t="shared" ca="1" si="5"/>
        <v>0</v>
      </c>
      <c r="E46" s="763">
        <f t="shared" si="5"/>
        <v>19.150502350212481</v>
      </c>
      <c r="F46" s="763">
        <f t="shared" si="5"/>
        <v>28.373322306280325</v>
      </c>
      <c r="G46" s="763">
        <f t="shared" si="5"/>
        <v>0</v>
      </c>
      <c r="H46" s="763">
        <f t="shared" si="5"/>
        <v>12687.841352407342</v>
      </c>
      <c r="I46" s="763">
        <f t="shared" si="5"/>
        <v>2649.8271043435639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15389.777855666071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172.36040618049748</v>
      </c>
      <c r="D48" s="718">
        <f ca="1">+landbouw!C12</f>
        <v>460.76641544117649</v>
      </c>
      <c r="E48" s="718">
        <f>+landbouw!D12</f>
        <v>220.83818998238476</v>
      </c>
      <c r="F48" s="718">
        <f>+landbouw!E12</f>
        <v>6.2871707069089249</v>
      </c>
      <c r="G48" s="718">
        <f>+landbouw!F12</f>
        <v>177.7799692685806</v>
      </c>
      <c r="H48" s="718">
        <f>+landbouw!G12</f>
        <v>0</v>
      </c>
      <c r="I48" s="718">
        <f>+landbouw!H12</f>
        <v>0</v>
      </c>
      <c r="J48" s="718">
        <f>+landbouw!I12</f>
        <v>0</v>
      </c>
      <c r="K48" s="718">
        <f>+landbouw!J12</f>
        <v>48.327235712120448</v>
      </c>
      <c r="L48" s="718">
        <f>+landbouw!K12</f>
        <v>0</v>
      </c>
      <c r="M48" s="718">
        <f>+landbouw!L12</f>
        <v>0</v>
      </c>
      <c r="N48" s="718">
        <f>+landbouw!M12</f>
        <v>0</v>
      </c>
      <c r="O48" s="718">
        <f>+landbouw!N12</f>
        <v>0</v>
      </c>
      <c r="P48" s="718">
        <f>+landbouw!O12</f>
        <v>0</v>
      </c>
      <c r="Q48" s="719">
        <f>+landbouw!P12</f>
        <v>0</v>
      </c>
      <c r="R48" s="761">
        <f ca="1">SUM(C48:Q48)</f>
        <v>1086.3593872916688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7845.2779600950416</v>
      </c>
      <c r="D53" s="773">
        <f t="shared" ref="D53:Q53" ca="1" si="6">D41+D46+D48</f>
        <v>460.76641544117649</v>
      </c>
      <c r="E53" s="773">
        <f t="shared" ca="1" si="6"/>
        <v>12613.992042056545</v>
      </c>
      <c r="F53" s="773">
        <f t="shared" si="6"/>
        <v>631.12921964573604</v>
      </c>
      <c r="G53" s="773">
        <f t="shared" ca="1" si="6"/>
        <v>4554.9549120010424</v>
      </c>
      <c r="H53" s="773">
        <f t="shared" si="6"/>
        <v>12687.841352407342</v>
      </c>
      <c r="I53" s="773">
        <f t="shared" si="6"/>
        <v>2649.8271043435639</v>
      </c>
      <c r="J53" s="773">
        <f t="shared" si="6"/>
        <v>0</v>
      </c>
      <c r="K53" s="773">
        <f t="shared" si="6"/>
        <v>54.246043416680898</v>
      </c>
      <c r="L53" s="773">
        <f t="shared" si="6"/>
        <v>0</v>
      </c>
      <c r="M53" s="773">
        <f t="shared" ca="1" si="6"/>
        <v>0</v>
      </c>
      <c r="N53" s="773">
        <f t="shared" si="6"/>
        <v>0</v>
      </c>
      <c r="O53" s="773">
        <f t="shared" ca="1" si="6"/>
        <v>0</v>
      </c>
      <c r="P53" s="773">
        <f>P41+P46+P48</f>
        <v>0</v>
      </c>
      <c r="Q53" s="774">
        <f t="shared" si="6"/>
        <v>0</v>
      </c>
      <c r="R53" s="775">
        <f ca="1">R41+R46+R48</f>
        <v>41498.035049407132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0.18291647837801189</v>
      </c>
      <c r="D55" s="836">
        <f t="shared" ca="1" si="7"/>
        <v>7.8529411764705889E-2</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4028.7097265242428</v>
      </c>
      <c r="C66" s="795">
        <f>'lokale energieproductie'!B6</f>
        <v>4028.7097265242428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5215.5</v>
      </c>
      <c r="C67" s="794">
        <f>B67*IFERROR(SUM(J67:L67)/SUM(D67:M67),0)</f>
        <v>3911.6249999999995</v>
      </c>
      <c r="D67" s="826">
        <f>'lokale energieproductie'!C7</f>
        <v>0</v>
      </c>
      <c r="E67" s="827">
        <f>'lokale energieproductie'!D7</f>
        <v>0</v>
      </c>
      <c r="F67" s="827">
        <f>'lokale energieproductie'!E7</f>
        <v>1533.9705882352941</v>
      </c>
      <c r="G67" s="827">
        <f>'lokale energieproductie'!F7</f>
        <v>0</v>
      </c>
      <c r="H67" s="827">
        <f>'lokale energieproductie'!G7</f>
        <v>0</v>
      </c>
      <c r="I67" s="827">
        <f>'lokale energieproductie'!H7</f>
        <v>0</v>
      </c>
      <c r="J67" s="827">
        <f>'lokale energieproductie'!I7</f>
        <v>4601.911764705882</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409.57014705882358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9244.2097265242428</v>
      </c>
      <c r="C69" s="803">
        <f>SUM(C64:C68)</f>
        <v>7940.3347265242428</v>
      </c>
      <c r="D69" s="804">
        <f t="shared" ref="D69:M69" si="8">SUM(D67:D68)</f>
        <v>0</v>
      </c>
      <c r="E69" s="804">
        <f t="shared" si="8"/>
        <v>0</v>
      </c>
      <c r="F69" s="804">
        <f t="shared" si="8"/>
        <v>1533.9705882352941</v>
      </c>
      <c r="G69" s="804">
        <f t="shared" si="8"/>
        <v>0</v>
      </c>
      <c r="H69" s="804">
        <f t="shared" si="8"/>
        <v>0</v>
      </c>
      <c r="I69" s="804">
        <f t="shared" si="8"/>
        <v>0</v>
      </c>
      <c r="J69" s="804">
        <f t="shared" si="8"/>
        <v>4601.911764705882</v>
      </c>
      <c r="K69" s="804">
        <f t="shared" si="8"/>
        <v>0</v>
      </c>
      <c r="L69" s="804">
        <f t="shared" si="8"/>
        <v>0</v>
      </c>
      <c r="M69" s="930">
        <f t="shared" si="8"/>
        <v>0</v>
      </c>
      <c r="N69" s="805">
        <v>0</v>
      </c>
      <c r="O69" s="805">
        <f>SUM(O67:O68)</f>
        <v>409.57014705882358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5867.4375</v>
      </c>
      <c r="C78" s="817">
        <f>B78*IFERROR(SUM(I78:L78)/SUM(D78:M78),0)</f>
        <v>4400.5781250000009</v>
      </c>
      <c r="D78" s="832">
        <f>'lokale energieproductie'!C16</f>
        <v>0</v>
      </c>
      <c r="E78" s="832">
        <f>'lokale energieproductie'!D16</f>
        <v>0</v>
      </c>
      <c r="F78" s="832">
        <f>'lokale energieproductie'!E16</f>
        <v>1725.7169117647059</v>
      </c>
      <c r="G78" s="832">
        <f>'lokale energieproductie'!F16</f>
        <v>0</v>
      </c>
      <c r="H78" s="832">
        <f>'lokale energieproductie'!G16</f>
        <v>0</v>
      </c>
      <c r="I78" s="832">
        <f>'lokale energieproductie'!H16</f>
        <v>0</v>
      </c>
      <c r="J78" s="832">
        <f>'lokale energieproductie'!I16</f>
        <v>5177.150735294118</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460.76641544117649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5867.4375</v>
      </c>
      <c r="C81" s="803">
        <f>SUM(C78:C80)</f>
        <v>4400.5781250000009</v>
      </c>
      <c r="D81" s="803">
        <f t="shared" ref="D81:P81" si="9">SUM(D78:D80)</f>
        <v>0</v>
      </c>
      <c r="E81" s="803">
        <f t="shared" si="9"/>
        <v>0</v>
      </c>
      <c r="F81" s="803">
        <f t="shared" si="9"/>
        <v>1725.7169117647059</v>
      </c>
      <c r="G81" s="803">
        <f t="shared" si="9"/>
        <v>0</v>
      </c>
      <c r="H81" s="803">
        <f t="shared" si="9"/>
        <v>0</v>
      </c>
      <c r="I81" s="803">
        <f t="shared" si="9"/>
        <v>0</v>
      </c>
      <c r="J81" s="803">
        <f t="shared" si="9"/>
        <v>5177.150735294118</v>
      </c>
      <c r="K81" s="803">
        <f t="shared" si="9"/>
        <v>0</v>
      </c>
      <c r="L81" s="803">
        <f t="shared" si="9"/>
        <v>0</v>
      </c>
      <c r="M81" s="803">
        <f t="shared" si="9"/>
        <v>0</v>
      </c>
      <c r="N81" s="803">
        <v>0</v>
      </c>
      <c r="O81" s="803">
        <f>SUM(O78:O80)</f>
        <v>460.76641544117649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26693.102486648135</v>
      </c>
      <c r="C4" s="478">
        <f>huishoudens!C8</f>
        <v>0</v>
      </c>
      <c r="D4" s="478">
        <f>huishoudens!D8</f>
        <v>45341.476705482906</v>
      </c>
      <c r="E4" s="478">
        <f>huishoudens!E8</f>
        <v>1812.2362881796498</v>
      </c>
      <c r="F4" s="478">
        <f>huishoudens!F8</f>
        <v>12931.199177426124</v>
      </c>
      <c r="G4" s="478">
        <f>huishoudens!G8</f>
        <v>0</v>
      </c>
      <c r="H4" s="478">
        <f>huishoudens!H8</f>
        <v>0</v>
      </c>
      <c r="I4" s="478">
        <f>huishoudens!I8</f>
        <v>0</v>
      </c>
      <c r="J4" s="478">
        <f>huishoudens!J8</f>
        <v>0</v>
      </c>
      <c r="K4" s="478">
        <f>huishoudens!K8</f>
        <v>0</v>
      </c>
      <c r="L4" s="478">
        <f>huishoudens!L8</f>
        <v>0</v>
      </c>
      <c r="M4" s="478">
        <f>huishoudens!M8</f>
        <v>0</v>
      </c>
      <c r="N4" s="478">
        <f>huishoudens!N8</f>
        <v>10422.004876769141</v>
      </c>
      <c r="O4" s="478">
        <f>huishoudens!O8</f>
        <v>189.16333333333336</v>
      </c>
      <c r="P4" s="479">
        <f>huishoudens!P8</f>
        <v>1258.4000000000001</v>
      </c>
      <c r="Q4" s="480">
        <f>SUM(B4:P4)</f>
        <v>98647.582867839286</v>
      </c>
    </row>
    <row r="5" spans="1:17">
      <c r="A5" s="477" t="s">
        <v>156</v>
      </c>
      <c r="B5" s="478">
        <f ca="1">tertiair!B16</f>
        <v>7967.4608620629224</v>
      </c>
      <c r="C5" s="478">
        <f ca="1">tertiair!C16</f>
        <v>0</v>
      </c>
      <c r="D5" s="478">
        <f ca="1">tertiair!D16</f>
        <v>10786.529935795827</v>
      </c>
      <c r="E5" s="478">
        <f>tertiair!E16</f>
        <v>148.8042072948262</v>
      </c>
      <c r="F5" s="478">
        <f ca="1">tertiair!F16</f>
        <v>1399.7074123568034</v>
      </c>
      <c r="G5" s="478">
        <f>tertiair!G16</f>
        <v>0</v>
      </c>
      <c r="H5" s="478">
        <f>tertiair!H16</f>
        <v>0</v>
      </c>
      <c r="I5" s="478">
        <f>tertiair!I16</f>
        <v>0</v>
      </c>
      <c r="J5" s="478">
        <f>tertiair!J16</f>
        <v>1.2610141645049831E-2</v>
      </c>
      <c r="K5" s="478">
        <f>tertiair!K16</f>
        <v>0</v>
      </c>
      <c r="L5" s="478">
        <f ca="1">tertiair!L16</f>
        <v>0</v>
      </c>
      <c r="M5" s="478">
        <f>tertiair!M16</f>
        <v>0</v>
      </c>
      <c r="N5" s="478">
        <f ca="1">tertiair!N16</f>
        <v>506.2721689349155</v>
      </c>
      <c r="O5" s="478">
        <f>tertiair!O16</f>
        <v>1.5633333333333335</v>
      </c>
      <c r="P5" s="479">
        <f>tertiair!P16</f>
        <v>19.066666666666666</v>
      </c>
      <c r="Q5" s="477">
        <f t="shared" ref="Q5:Q13" ca="1" si="0">SUM(B5:P5)</f>
        <v>20829.417196586939</v>
      </c>
    </row>
    <row r="6" spans="1:17">
      <c r="A6" s="477" t="s">
        <v>194</v>
      </c>
      <c r="B6" s="478">
        <f>'openbare verlichting'!B8</f>
        <v>945.16099999999994</v>
      </c>
      <c r="C6" s="478"/>
      <c r="D6" s="478"/>
      <c r="E6" s="478"/>
      <c r="F6" s="478"/>
      <c r="G6" s="478"/>
      <c r="H6" s="478"/>
      <c r="I6" s="478"/>
      <c r="J6" s="478"/>
      <c r="K6" s="478"/>
      <c r="L6" s="478"/>
      <c r="M6" s="478"/>
      <c r="N6" s="478"/>
      <c r="O6" s="478"/>
      <c r="P6" s="479"/>
      <c r="Q6" s="477">
        <f t="shared" si="0"/>
        <v>945.16099999999994</v>
      </c>
    </row>
    <row r="7" spans="1:17">
      <c r="A7" s="477" t="s">
        <v>112</v>
      </c>
      <c r="B7" s="478">
        <f>landbouw!B8</f>
        <v>942.29020648593826</v>
      </c>
      <c r="C7" s="478">
        <f>landbouw!C8</f>
        <v>5867.4375</v>
      </c>
      <c r="D7" s="478">
        <f>landbouw!D8</f>
        <v>1093.2583662494294</v>
      </c>
      <c r="E7" s="478">
        <f>landbouw!E8</f>
        <v>27.696787255105395</v>
      </c>
      <c r="F7" s="478">
        <f>landbouw!F8</f>
        <v>665.8425815302644</v>
      </c>
      <c r="G7" s="478">
        <f>landbouw!G8</f>
        <v>0</v>
      </c>
      <c r="H7" s="478">
        <f>landbouw!H8</f>
        <v>0</v>
      </c>
      <c r="I7" s="478">
        <f>landbouw!I8</f>
        <v>0</v>
      </c>
      <c r="J7" s="478">
        <f>landbouw!J8</f>
        <v>136.51761500598997</v>
      </c>
      <c r="K7" s="478">
        <f>landbouw!K8</f>
        <v>0</v>
      </c>
      <c r="L7" s="478">
        <f>landbouw!L8</f>
        <v>0</v>
      </c>
      <c r="M7" s="478">
        <f>landbouw!M8</f>
        <v>0</v>
      </c>
      <c r="N7" s="478">
        <f>landbouw!N8</f>
        <v>0</v>
      </c>
      <c r="O7" s="478">
        <f>landbouw!O8</f>
        <v>0</v>
      </c>
      <c r="P7" s="479">
        <f>landbouw!P8</f>
        <v>0</v>
      </c>
      <c r="Q7" s="477">
        <f t="shared" si="0"/>
        <v>8733.0430565267288</v>
      </c>
    </row>
    <row r="8" spans="1:17">
      <c r="A8" s="477" t="s">
        <v>635</v>
      </c>
      <c r="B8" s="478">
        <f>industrie!B18</f>
        <v>6316.8626574122227</v>
      </c>
      <c r="C8" s="478">
        <f>industrie!C18</f>
        <v>0</v>
      </c>
      <c r="D8" s="478">
        <f>industrie!D18</f>
        <v>5129.4356840873388</v>
      </c>
      <c r="E8" s="478">
        <f>industrie!E18</f>
        <v>666.57504035172133</v>
      </c>
      <c r="F8" s="478">
        <f>industrie!F18</f>
        <v>2063.0070534098136</v>
      </c>
      <c r="G8" s="478">
        <f>industrie!G18</f>
        <v>0</v>
      </c>
      <c r="H8" s="478">
        <f>industrie!H18</f>
        <v>0</v>
      </c>
      <c r="I8" s="478">
        <f>industrie!I18</f>
        <v>0</v>
      </c>
      <c r="J8" s="478">
        <f>industrie!J18</f>
        <v>16.70718563394945</v>
      </c>
      <c r="K8" s="478">
        <f>industrie!K18</f>
        <v>0</v>
      </c>
      <c r="L8" s="478">
        <f>industrie!L18</f>
        <v>0</v>
      </c>
      <c r="M8" s="478">
        <f>industrie!M18</f>
        <v>0</v>
      </c>
      <c r="N8" s="478">
        <f>industrie!N18</f>
        <v>1525.8835521740791</v>
      </c>
      <c r="O8" s="478">
        <f>industrie!O18</f>
        <v>0</v>
      </c>
      <c r="P8" s="479">
        <f>industrie!P18</f>
        <v>0</v>
      </c>
      <c r="Q8" s="477">
        <f t="shared" si="0"/>
        <v>15718.471173069125</v>
      </c>
    </row>
    <row r="9" spans="1:17" s="483" customFormat="1">
      <c r="A9" s="481" t="s">
        <v>561</v>
      </c>
      <c r="B9" s="482">
        <f>transport!B14</f>
        <v>25.06922448613896</v>
      </c>
      <c r="C9" s="482"/>
      <c r="D9" s="482">
        <f>transport!D14</f>
        <v>94.804467080259798</v>
      </c>
      <c r="E9" s="482">
        <f>transport!E14</f>
        <v>124.99260927876794</v>
      </c>
      <c r="F9" s="482"/>
      <c r="G9" s="482">
        <f>transport!G14</f>
        <v>46925.936091416719</v>
      </c>
      <c r="H9" s="482">
        <f>transport!H14</f>
        <v>10641.875921058489</v>
      </c>
      <c r="I9" s="482"/>
      <c r="J9" s="482"/>
      <c r="K9" s="482"/>
      <c r="L9" s="482"/>
      <c r="M9" s="482">
        <f>transport!M14</f>
        <v>3057.5181480373731</v>
      </c>
      <c r="N9" s="482"/>
      <c r="O9" s="482"/>
      <c r="P9" s="482"/>
      <c r="Q9" s="481">
        <f>SUM(B9:P9)</f>
        <v>60870.196461357751</v>
      </c>
    </row>
    <row r="10" spans="1:17">
      <c r="A10" s="477" t="s">
        <v>551</v>
      </c>
      <c r="B10" s="478">
        <f>transport!B54</f>
        <v>0</v>
      </c>
      <c r="C10" s="478"/>
      <c r="D10" s="478">
        <f>transport!D54</f>
        <v>0</v>
      </c>
      <c r="E10" s="478"/>
      <c r="F10" s="478"/>
      <c r="G10" s="478">
        <f>transport!G54</f>
        <v>594.06897377931568</v>
      </c>
      <c r="H10" s="478"/>
      <c r="I10" s="478"/>
      <c r="J10" s="478"/>
      <c r="K10" s="478"/>
      <c r="L10" s="478"/>
      <c r="M10" s="478">
        <f>transport!M54</f>
        <v>33.740495147802683</v>
      </c>
      <c r="N10" s="478"/>
      <c r="O10" s="478"/>
      <c r="P10" s="479"/>
      <c r="Q10" s="477">
        <f t="shared" si="0"/>
        <v>627.80946892711836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42889.946437095365</v>
      </c>
      <c r="C14" s="488">
        <f t="shared" ref="C14:Q14" ca="1" si="1">SUM(C4:C13)</f>
        <v>5867.4375</v>
      </c>
      <c r="D14" s="488">
        <f t="shared" ca="1" si="1"/>
        <v>62445.505158695763</v>
      </c>
      <c r="E14" s="488">
        <f t="shared" si="1"/>
        <v>2780.3049323600703</v>
      </c>
      <c r="F14" s="488">
        <f t="shared" ca="1" si="1"/>
        <v>17059.756224723005</v>
      </c>
      <c r="G14" s="488">
        <f t="shared" si="1"/>
        <v>47520.005065196034</v>
      </c>
      <c r="H14" s="488">
        <f t="shared" si="1"/>
        <v>10641.875921058489</v>
      </c>
      <c r="I14" s="488">
        <f t="shared" si="1"/>
        <v>0</v>
      </c>
      <c r="J14" s="488">
        <f t="shared" si="1"/>
        <v>153.23741078158446</v>
      </c>
      <c r="K14" s="488">
        <f t="shared" si="1"/>
        <v>0</v>
      </c>
      <c r="L14" s="488">
        <f t="shared" ca="1" si="1"/>
        <v>0</v>
      </c>
      <c r="M14" s="488">
        <f t="shared" si="1"/>
        <v>3091.258643185176</v>
      </c>
      <c r="N14" s="488">
        <f t="shared" ca="1" si="1"/>
        <v>12454.160597878135</v>
      </c>
      <c r="O14" s="488">
        <f t="shared" si="1"/>
        <v>190.72666666666669</v>
      </c>
      <c r="P14" s="489">
        <f t="shared" si="1"/>
        <v>1277.4666666666667</v>
      </c>
      <c r="Q14" s="489">
        <f t="shared" ca="1" si="1"/>
        <v>206371.68122430696</v>
      </c>
    </row>
    <row r="16" spans="1:17">
      <c r="A16" s="491" t="s">
        <v>556</v>
      </c>
      <c r="B16" s="841">
        <f ca="1">huishoudens!B10</f>
        <v>0.18291647837801189</v>
      </c>
      <c r="C16" s="841">
        <f ca="1">huishoudens!C10</f>
        <v>7.8529411764705889E-2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4882.6083038410288</v>
      </c>
      <c r="C21" s="478">
        <f t="shared" ref="C21:C28" ca="1" si="3">C4*$C$16</f>
        <v>0</v>
      </c>
      <c r="D21" s="478">
        <f t="shared" ref="D21:D30" si="4">D4*$D$16</f>
        <v>9158.9782945075476</v>
      </c>
      <c r="E21" s="478">
        <f t="shared" ref="E21:E30" si="5">E4*$E$16</f>
        <v>411.37763741678054</v>
      </c>
      <c r="F21" s="478">
        <f t="shared" ref="F21:F28" si="6">F4*$F$16</f>
        <v>3452.6301803727752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17905.594416138134</v>
      </c>
    </row>
    <row r="22" spans="1:17">
      <c r="A22" s="477" t="s">
        <v>156</v>
      </c>
      <c r="B22" s="478">
        <f t="shared" ca="1" si="2"/>
        <v>1457.3798825031886</v>
      </c>
      <c r="C22" s="478">
        <f t="shared" ca="1" si="3"/>
        <v>0</v>
      </c>
      <c r="D22" s="478">
        <f t="shared" ca="1" si="4"/>
        <v>2178.8790470307572</v>
      </c>
      <c r="E22" s="478">
        <f t="shared" si="5"/>
        <v>33.778555055925551</v>
      </c>
      <c r="F22" s="478">
        <f t="shared" ca="1" si="6"/>
        <v>373.72187909926652</v>
      </c>
      <c r="G22" s="478">
        <f t="shared" si="7"/>
        <v>0</v>
      </c>
      <c r="H22" s="478">
        <f t="shared" si="8"/>
        <v>0</v>
      </c>
      <c r="I22" s="478">
        <f t="shared" si="9"/>
        <v>0</v>
      </c>
      <c r="J22" s="478">
        <f t="shared" si="10"/>
        <v>4.4639901423476399E-3</v>
      </c>
      <c r="K22" s="478">
        <f t="shared" si="11"/>
        <v>0</v>
      </c>
      <c r="L22" s="478">
        <f t="shared" ca="1" si="12"/>
        <v>0</v>
      </c>
      <c r="M22" s="478">
        <f t="shared" si="13"/>
        <v>0</v>
      </c>
      <c r="N22" s="478">
        <f t="shared" ca="1" si="14"/>
        <v>0</v>
      </c>
      <c r="O22" s="478">
        <f t="shared" si="15"/>
        <v>0</v>
      </c>
      <c r="P22" s="479">
        <f t="shared" si="16"/>
        <v>0</v>
      </c>
      <c r="Q22" s="477">
        <f t="shared" ref="Q22:Q30" ca="1" si="17">SUM(B22:P22)</f>
        <v>4043.7638276792804</v>
      </c>
    </row>
    <row r="23" spans="1:17">
      <c r="A23" s="477" t="s">
        <v>194</v>
      </c>
      <c r="B23" s="478">
        <f t="shared" ca="1" si="2"/>
        <v>172.8855216202401</v>
      </c>
      <c r="C23" s="478"/>
      <c r="D23" s="478"/>
      <c r="E23" s="478"/>
      <c r="F23" s="478"/>
      <c r="G23" s="478"/>
      <c r="H23" s="478"/>
      <c r="I23" s="478"/>
      <c r="J23" s="478"/>
      <c r="K23" s="478"/>
      <c r="L23" s="478"/>
      <c r="M23" s="478"/>
      <c r="N23" s="478"/>
      <c r="O23" s="478"/>
      <c r="P23" s="479"/>
      <c r="Q23" s="477">
        <f t="shared" ca="1" si="17"/>
        <v>172.8855216202401</v>
      </c>
    </row>
    <row r="24" spans="1:17">
      <c r="A24" s="477" t="s">
        <v>112</v>
      </c>
      <c r="B24" s="478">
        <f t="shared" ca="1" si="2"/>
        <v>172.36040618049748</v>
      </c>
      <c r="C24" s="478">
        <f t="shared" ca="1" si="3"/>
        <v>460.76641544117649</v>
      </c>
      <c r="D24" s="478">
        <f t="shared" si="4"/>
        <v>220.83818998238476</v>
      </c>
      <c r="E24" s="478">
        <f t="shared" si="5"/>
        <v>6.2871707069089249</v>
      </c>
      <c r="F24" s="478">
        <f t="shared" si="6"/>
        <v>177.7799692685806</v>
      </c>
      <c r="G24" s="478">
        <f t="shared" si="7"/>
        <v>0</v>
      </c>
      <c r="H24" s="478">
        <f t="shared" si="8"/>
        <v>0</v>
      </c>
      <c r="I24" s="478">
        <f t="shared" si="9"/>
        <v>0</v>
      </c>
      <c r="J24" s="478">
        <f t="shared" si="10"/>
        <v>48.327235712120448</v>
      </c>
      <c r="K24" s="478">
        <f t="shared" si="11"/>
        <v>0</v>
      </c>
      <c r="L24" s="478">
        <f t="shared" si="12"/>
        <v>0</v>
      </c>
      <c r="M24" s="478">
        <f t="shared" si="13"/>
        <v>0</v>
      </c>
      <c r="N24" s="478">
        <f t="shared" si="14"/>
        <v>0</v>
      </c>
      <c r="O24" s="478">
        <f t="shared" si="15"/>
        <v>0</v>
      </c>
      <c r="P24" s="479">
        <f t="shared" si="16"/>
        <v>0</v>
      </c>
      <c r="Q24" s="477">
        <f t="shared" ca="1" si="17"/>
        <v>1086.3593872916688</v>
      </c>
    </row>
    <row r="25" spans="1:17">
      <c r="A25" s="477" t="s">
        <v>635</v>
      </c>
      <c r="B25" s="478">
        <f t="shared" ca="1" si="2"/>
        <v>1155.4582716914135</v>
      </c>
      <c r="C25" s="478">
        <f t="shared" ca="1" si="3"/>
        <v>0</v>
      </c>
      <c r="D25" s="478">
        <f t="shared" si="4"/>
        <v>1036.1460081856426</v>
      </c>
      <c r="E25" s="478">
        <f t="shared" si="5"/>
        <v>151.31253415984074</v>
      </c>
      <c r="F25" s="478">
        <f t="shared" si="6"/>
        <v>550.82288326042021</v>
      </c>
      <c r="G25" s="478">
        <f t="shared" si="7"/>
        <v>0</v>
      </c>
      <c r="H25" s="478">
        <f t="shared" si="8"/>
        <v>0</v>
      </c>
      <c r="I25" s="478">
        <f t="shared" si="9"/>
        <v>0</v>
      </c>
      <c r="J25" s="478">
        <f t="shared" si="10"/>
        <v>5.9143437144181048</v>
      </c>
      <c r="K25" s="478">
        <f t="shared" si="11"/>
        <v>0</v>
      </c>
      <c r="L25" s="478">
        <f t="shared" si="12"/>
        <v>0</v>
      </c>
      <c r="M25" s="478">
        <f t="shared" si="13"/>
        <v>0</v>
      </c>
      <c r="N25" s="478">
        <f t="shared" si="14"/>
        <v>0</v>
      </c>
      <c r="O25" s="478">
        <f t="shared" si="15"/>
        <v>0</v>
      </c>
      <c r="P25" s="479">
        <f t="shared" si="16"/>
        <v>0</v>
      </c>
      <c r="Q25" s="477">
        <f t="shared" ca="1" si="17"/>
        <v>2899.6540410117345</v>
      </c>
    </row>
    <row r="26" spans="1:17" s="483" customFormat="1">
      <c r="A26" s="481" t="s">
        <v>561</v>
      </c>
      <c r="B26" s="835">
        <f t="shared" ca="1" si="2"/>
        <v>4.5855742586723638</v>
      </c>
      <c r="C26" s="482"/>
      <c r="D26" s="482">
        <f t="shared" si="4"/>
        <v>19.150502350212481</v>
      </c>
      <c r="E26" s="482">
        <f t="shared" si="5"/>
        <v>28.373322306280325</v>
      </c>
      <c r="F26" s="482"/>
      <c r="G26" s="482">
        <f t="shared" si="7"/>
        <v>12529.224936408265</v>
      </c>
      <c r="H26" s="482">
        <f t="shared" si="8"/>
        <v>2649.8271043435639</v>
      </c>
      <c r="I26" s="482"/>
      <c r="J26" s="482"/>
      <c r="K26" s="482"/>
      <c r="L26" s="482"/>
      <c r="M26" s="482">
        <f t="shared" si="13"/>
        <v>0</v>
      </c>
      <c r="N26" s="482"/>
      <c r="O26" s="482"/>
      <c r="P26" s="493"/>
      <c r="Q26" s="481">
        <f t="shared" ca="1" si="17"/>
        <v>15231.161439666994</v>
      </c>
    </row>
    <row r="27" spans="1:17">
      <c r="A27" s="477" t="s">
        <v>551</v>
      </c>
      <c r="B27" s="478">
        <f t="shared" ca="1" si="2"/>
        <v>0</v>
      </c>
      <c r="C27" s="478"/>
      <c r="D27" s="482">
        <f t="shared" si="4"/>
        <v>0</v>
      </c>
      <c r="E27" s="478"/>
      <c r="F27" s="478"/>
      <c r="G27" s="478">
        <f t="shared" si="7"/>
        <v>158.6164159990773</v>
      </c>
      <c r="H27" s="478"/>
      <c r="I27" s="478"/>
      <c r="J27" s="478"/>
      <c r="K27" s="478"/>
      <c r="L27" s="478"/>
      <c r="M27" s="478">
        <f t="shared" si="13"/>
        <v>0</v>
      </c>
      <c r="N27" s="478"/>
      <c r="O27" s="478"/>
      <c r="P27" s="479"/>
      <c r="Q27" s="477">
        <f t="shared" ca="1" si="17"/>
        <v>158.6164159990773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7845.2779600950407</v>
      </c>
      <c r="C31" s="488">
        <f t="shared" ca="1" si="18"/>
        <v>460.76641544117649</v>
      </c>
      <c r="D31" s="488">
        <f t="shared" ca="1" si="18"/>
        <v>12613.992042056545</v>
      </c>
      <c r="E31" s="488">
        <f t="shared" si="18"/>
        <v>631.12921964573604</v>
      </c>
      <c r="F31" s="488">
        <f t="shared" ca="1" si="18"/>
        <v>4554.9549120010424</v>
      </c>
      <c r="G31" s="488">
        <f t="shared" si="18"/>
        <v>12687.841352407342</v>
      </c>
      <c r="H31" s="488">
        <f t="shared" si="18"/>
        <v>2649.8271043435639</v>
      </c>
      <c r="I31" s="488">
        <f t="shared" si="18"/>
        <v>0</v>
      </c>
      <c r="J31" s="488">
        <f t="shared" si="18"/>
        <v>54.246043416680898</v>
      </c>
      <c r="K31" s="488">
        <f t="shared" si="18"/>
        <v>0</v>
      </c>
      <c r="L31" s="488">
        <f t="shared" ca="1" si="18"/>
        <v>0</v>
      </c>
      <c r="M31" s="488">
        <f t="shared" si="18"/>
        <v>0</v>
      </c>
      <c r="N31" s="488">
        <f t="shared" ca="1" si="18"/>
        <v>0</v>
      </c>
      <c r="O31" s="488">
        <f t="shared" si="18"/>
        <v>0</v>
      </c>
      <c r="P31" s="489">
        <f t="shared" si="18"/>
        <v>0</v>
      </c>
      <c r="Q31" s="489">
        <f t="shared" ca="1" si="18"/>
        <v>41498.035049407124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0.18291647837801189</v>
      </c>
      <c r="C17" s="528">
        <f ca="1">'EF ele_warmte'!B22</f>
        <v>7.8529411764705889E-2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0.18291647837801189</v>
      </c>
      <c r="C17" s="528">
        <f ca="1">'EF ele_warmte'!B22</f>
        <v>7.8529411764705889E-2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0.18291647837801189</v>
      </c>
      <c r="C29" s="529">
        <f ca="1">'EF ele_warmte'!B22</f>
        <v>7.8529411764705889E-2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2019-01-01T21:18:14Z</dcterms:modified>
</cp:coreProperties>
</file>