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13" i="15"/>
  <c r="F6" i="17"/>
  <c r="D16"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F28" i="48" l="1"/>
  <c r="K28"/>
  <c r="J24"/>
  <c r="D28"/>
  <c r="D30"/>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8"/>
  <c r="O22" i="16"/>
  <c r="P39" i="14" s="1"/>
  <c r="M10" i="48"/>
  <c r="M27" s="1"/>
  <c r="F22" i="14"/>
  <c r="C13"/>
  <c r="E12" i="13"/>
  <c r="F37" i="14" s="1"/>
  <c r="D22" i="16"/>
  <c r="E39" i="14" s="1"/>
  <c r="N4" i="48"/>
  <c r="N21" s="1"/>
  <c r="D20" i="15"/>
  <c r="E36" i="14" s="1"/>
  <c r="G14" i="22"/>
  <c r="G9" i="48" s="1"/>
  <c r="O8"/>
  <c r="O25" s="1"/>
  <c r="E7"/>
  <c r="E24" s="1"/>
  <c r="P31"/>
  <c r="N7"/>
  <c r="N24" s="1"/>
  <c r="J16" i="15"/>
  <c r="E16"/>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E41" i="14"/>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N14" i="48"/>
  <c r="E14"/>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<sst xmlns="http://schemas.openxmlformats.org/spreadsheetml/2006/main" count="2099" uniqueCount="844">
  <si>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</si>
  <si>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</si>
  <si>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</si>
  <si>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</si>
  <si>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</si>
  <si>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</si>
  <si>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</si>
  <si>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</si>
  <si>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</si>
  <si>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</si>
  <si>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</si>
  <si>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</si>
  <si>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</si>
  <si>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</si>
  <si>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</si>
  <si>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</si>
  <si>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</si>
  <si>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</si>
  <si>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</si>
  <si>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</si>
  <si>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</si>
  <si>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</si>
  <si>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</si>
  <si>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</si>
  <si>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</si>
  <si>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</si>
  <si>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</si>
  <si>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</si>
  <si>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</si>
  <si>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</si>
  <si>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</si>
  <si>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</si>
  <si>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</si>
  <si>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</si>
  <si>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</si>
  <si>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</si>
  <si>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</si>
  <si>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</si>
  <si>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</si>
  <si>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</si>
  <si>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</si>
  <si>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</si>
  <si>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</si>
  <si>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</si>
  <si>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</si>
  <si>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</si>
  <si>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</si>
  <si>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</si>
  <si>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</si>
  <si>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</si>
  <si>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</si>
  <si>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</si>
  <si>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</si>
  <si>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</si>
  <si>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</si>
  <si>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</si>
  <si>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</si>
  <si>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</si>
  <si>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</si>
  <si>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</si>
  <si>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</si>
  <si>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</si>
  <si>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</si>
  <si>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</si>
  <si>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</si>
  <si>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</si>
  <si>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</si>
  <si>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</si>
  <si>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</si>
  <si>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</si>
  <si>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</si>
  <si>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</si>
  <si>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</si>
  <si>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</si>
  <si>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</si>
  <si>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</si>
  <si>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</si>
  <si>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</si>
  <si>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</si>
  <si>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</si>
  <si>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</si>
  <si>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</si>
  <si>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</si>
  <si>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</si>
  <si>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</si>
  <si>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</si>
  <si>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</si>
  <si>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</si>
  <si>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</si>
  <si>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</si>
  <si>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</si>
  <si>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</si>
  <si>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</si>
  <si>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</si>
  <si>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</si>
  <si>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</si>
  <si>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</si>
  <si>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</si>
  <si>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</si>
  <si>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</si>
  <si>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</si>
  <si>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</si>
  <si>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</si>
  <si>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</si>
  <si>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</si>
  <si>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</si>
  <si>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</si>
  <si>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</si>
  <si>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</si>
  <si>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</si>
  <si>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</si>
  <si>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</si>
  <si>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</si>
  <si>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</si>
  <si>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</si>
  <si>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</si>
  <si>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</si>
  <si>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</si>
  <si>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</si>
  <si>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</si>
  <si>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</si>
  <si>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</si>
  <si>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</si>
  <si>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</si>
  <si>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</si>
  <si>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</si>
  <si>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</si>
  <si>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</si>
  <si>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</si>
  <si>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</si>
  <si>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</si>
  <si>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</si>
  <si>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</si>
  <si>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</si>
  <si>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</si>
  <si>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</si>
  <si>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</si>
  <si>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</si>
  <si>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</si>
  <si>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</si>
  <si>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</si>
  <si>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</si>
  <si>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</si>
  <si>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</si>
  <si>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</si>
  <si>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</si>
  <si>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</si>
  <si>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</si>
  <si>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</si>
  <si>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</si>
  <si>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</si>
  <si>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</si>
  <si>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</si>
  <si>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</si>
  <si>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</si>
  <si>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</si>
  <si>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</si>
  <si>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</si>
  <si>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</si>
  <si>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</si>
  <si>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</si>
  <si>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</si>
  <si>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</si>
  <si>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</si>
  <si>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</si>
  <si>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</si>
  <si>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</si>
  <si>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</si>
  <si>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</si>
  <si>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</si>
  <si>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</si>
  <si>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</si>
  <si>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</si>
  <si>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</si>
  <si>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</si>
  <si>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</si>
  <si>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</si>
  <si>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</si>
  <si>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</si>
  <si>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</si>
  <si>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</si>
  <si>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</si>
  <si>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</si>
  <si>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</si>
  <si>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</si>
  <si>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</si>
  <si>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</si>
  <si>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</si>
  <si>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</si>
  <si>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</si>
  <si>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</si>
  <si>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</si>
  <si>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</si>
  <si>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</si>
  <si>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</si>
  <si>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</si>
  <si>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</si>
  <si>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</si>
  <si>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</si>
  <si>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</si>
  <si>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</si>
  <si>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</si>
  <si>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</si>
  <si>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</si>
  <si>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</si>
  <si>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</si>
  <si>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</si>
  <si>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</si>
  <si>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</si>
  <si>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</si>
  <si>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</si>
  <si>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</si>
  <si>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</si>
  <si>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</si>
  <si>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</si>
  <si>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</si>
  <si>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</si>
  <si>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</si>
  <si>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</si>
  <si>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</si>
  <si>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</si>
  <si>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</si>
  <si>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</si>
  <si>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</si>
  <si>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</si>
  <si>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</si>
  <si>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</si>
  <si>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</si>
  <si>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</si>
  <si>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</si>
  <si>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</si>
  <si>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</si>
  <si>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</si>
  <si>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</si>
  <si>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</si>
  <si>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</si>
  <si>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</si>
  <si>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</si>
  <si>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</si>
  <si>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</si>
  <si>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</si>
  <si>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</si>
  <si>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</si>
  <si>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</si>
  <si>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</si>
  <si>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</si>
  <si>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</si>
  <si>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</si>
  <si>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</si>
  <si>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</si>
  <si>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</si>
  <si>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</si>
  <si>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</si>
  <si>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</si>
  <si>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</si>
  <si>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</si>
  <si>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</si>
  <si>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</si>
  <si>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</si>
  <si>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</si>
  <si>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</si>
  <si>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</si>
  <si>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</si>
  <si>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</si>
  <si>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</si>
  <si>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</si>
  <si>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</si>
  <si>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</si>
  <si>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</si>
  <si>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</si>
  <si>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</si>
  <si>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</si>
  <si>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</si>
  <si>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</si>
  <si>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</si>
  <si>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</si>
  <si>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</si>
  <si>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</si>
  <si>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</si>
  <si>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</si>
  <si>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</si>
  <si>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</si>
  <si>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</si>
  <si>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</si>
  <si>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</si>
  <si>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</si>
  <si>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</si>
  <si>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</si>
  <si>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</si>
  <si>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</si>
  <si>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</si>
  <si>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</si>
  <si>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</si>
  <si>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</si>
  <si>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</si>
  <si>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</si>
  <si>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</si>
  <si>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</si>
  <si>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</si>
  <si>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</si>
  <si>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</si>
  <si>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</si>
  <si>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</si>
  <si>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</si>
  <si>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</si>
  <si>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</si>
  <si>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</si>
  <si>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</si>
  <si>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</si>
  <si>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</si>
  <si>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</si>
  <si>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</si>
  <si>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</si>
  <si>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</si>
  <si>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</si>
  <si>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</si>
  <si>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</si>
  <si>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</si>
  <si>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</si>
  <si>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</si>
  <si>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</si>
  <si>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</si>
  <si>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</si>
  <si>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</si>
  <si>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</si>
  <si>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</si>
  <si>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</si>
  <si>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</si>
  <si>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</si>
  <si>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</si>
  <si>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</si>
  <si>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</si>
  <si>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</si>
  <si>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</si>
  <si>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</si>
  <si>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</si>
  <si>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</si>
  <si>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</si>
  <si>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</si>
  <si>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</si>
  <si>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</si>
  <si>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</si>
  <si>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</si>
  <si>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</si>
  <si>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</si>
  <si>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</si>
  <si>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</si>
  <si>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</si>
  <si>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</si>
  <si>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</si>
  <si>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</si>
  <si>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</si>
  <si>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</si>
  <si>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</si>
  <si>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</si>
  <si>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</si>
  <si>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</si>
  <si>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</si>
  <si>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</si>
  <si>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</si>
  <si>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</si>
  <si>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</si>
  <si>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</si>
  <si>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</si>
  <si>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</si>
  <si>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</si>
  <si>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</si>
  <si>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</si>
  <si>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</si>
  <si>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</si>
  <si>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</si>
  <si>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</si>
  <si>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</si>
  <si>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</si>
  <si>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</si>
  <si>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</si>
  <si>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</si>
  <si>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</si>
  <si>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</si>
  <si>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</si>
  <si>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</si>
  <si>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</si>
  <si>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</si>
  <si>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</si>
  <si>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</si>
  <si>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</si>
  <si>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</si>
  <si>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</si>
  <si>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</si>
  <si>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</si>
  <si>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</si>
  <si>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</si>
  <si>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</si>
  <si>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</si>
  <si>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</si>
  <si>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</si>
  <si>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</si>
  <si>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</si>
  <si>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</si>
  <si>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</si>
  <si>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</si>
  <si>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</si>
  <si>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</si>
  <si>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</si>
  <si>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</si>
  <si>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</si>
  <si>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</si>
  <si>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</si>
  <si>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</si>
  <si>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</si>
  <si>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</si>
  <si>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</si>
  <si>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</si>
  <si>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</si>
  <si>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</si>
  <si>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</si>
  <si>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</si>
  <si>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</si>
  <si>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</si>
  <si>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</si>
  <si>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</si>
  <si>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</si>
  <si>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</si>
  <si>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</si>
  <si>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</si>
  <si>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</si>
  <si>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</si>
  <si>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</si>
  <si>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</si>
  <si>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</si>
  <si>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</si>
  <si>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</si>
  <si>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</si>
  <si>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</si>
  <si>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</si>
  <si>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</si>
  <si>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</si>
  <si>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</si>
  <si>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</si>
  <si>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</si>
  <si>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</si>
  <si>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</si>
  <si>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</si>
  <si>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</si>
  <si>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</si>
  <si>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</si>
  <si>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</si>
  <si>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</si>
  <si>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</si>
  <si>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</si>
  <si>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</si>
  <si>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</si>
  <si>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</si>
  <si>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</si>
  <si>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</si>
  <si>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</si>
  <si>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</si>
  <si>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</si>
  <si>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</si>
  <si>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</si>
  <si>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</si>
  <si>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</si>
  <si>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</si>
  <si>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</si>
  <si>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</si>
  <si>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</si>
  <si>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</si>
  <si>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</si>
  <si>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</si>
  <si>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</si>
  <si>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</si>
  <si>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</si>
  <si>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</si>
  <si>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</si>
  <si>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</si>
  <si>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</si>
  <si>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</si>
  <si>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</si>
  <si>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</si>
  <si>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</si>
  <si>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</si>
  <si>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</si>
  <si>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</si>
  <si>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</si>
  <si>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</si>
  <si>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</si>
  <si>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</si>
  <si>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</si>
  <si>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</si>
  <si>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</si>
  <si>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</si>
  <si>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</si>
  <si>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</si>
  <si>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</si>
  <si>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</si>
  <si>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</si>
  <si>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</si>
  <si>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</si>
  <si>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</si>
  <si>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</si>
  <si>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</si>
  <si>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</si>
  <si>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</si>
  <si>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</si>
  <si>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</si>
  <si>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</si>
  <si>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</si>
  <si>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</si>
  <si>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</si>
  <si>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</si>
  <si>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</si>
  <si>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</si>
  <si>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</si>
  <si>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</si>
  <si>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</si>
  <si>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</si>
  <si>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</si>
  <si>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</si>
  <si>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</si>
  <si>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</si>
  <si>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</si>
  <si>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</si>
  <si>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</si>
  <si>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</si>
  <si>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</si>
  <si>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</si>
  <si>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</si>
  <si>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</si>
  <si>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</si>
  <si>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</si>
  <si>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</si>
  <si>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</si>
  <si>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</si>
  <si>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</si>
  <si>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</si>
  <si>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</si>
  <si>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</si>
  <si>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</si>
  <si>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</si>
  <si>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</si>
  <si>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</si>
  <si>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</si>
  <si>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</si>
  <si>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</si>
  <si>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</si>
  <si>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</si>
  <si>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</si>
  <si>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</si>
  <si>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</si>
  <si>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</si>
  <si>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</si>
  <si>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</si>
  <si>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</si>
  <si>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</si>
  <si>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</si>
  <si>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</si>
  <si>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</si>
  <si>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</si>
  <si>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</si>
  <si>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</si>
  <si>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</si>
  <si>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</si>
  <si>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</si>
  <si>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</si>
  <si>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</si>
  <si>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</si>
  <si>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</si>
  <si>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</si>
  <si>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</si>
  <si>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</si>
  <si>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</si>
  <si>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</si>
  <si>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</si>
  <si>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</si>
  <si>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</si>
  <si>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</si>
  <si>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</si>
  <si>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</si>
  <si>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</si>
  <si>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</si>
  <si>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</si>
  <si>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</si>
  <si>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</si>
  <si>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</si>
  <si>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</si>
  <si>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</si>
  <si>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</si>
  <si>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</si>
  <si>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</si>
  <si>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</si>
  <si>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</si>
  <si>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</si>
  <si>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</si>
  <si>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</si>
  <si>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</si>
  <si>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</si>
  <si>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</si>
  <si>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</si>
  <si>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</si>
  <si>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</si>
  <si>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</si>
  <si>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</si>
  <si>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</si>
  <si>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</si>
  <si>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</si>
  <si>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</si>
  <si>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</si>
  <si>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</si>
  <si>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</si>
  <si>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</si>
  <si>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</si>
  <si>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</si>
  <si>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</si>
  <si>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</si>
  <si>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</si>
  <si>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</si>
  <si>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</si>
  <si>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</si>
  <si>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</si>
  <si>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</si>
  <si>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</si>
  <si>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</si>
  <si>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</si>
  <si>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</si>
  <si>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</si>
  <si>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</si>
  <si>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</si>
  <si>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</si>
  <si>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</si>
  <si>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</si>
  <si>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</si>
  <si>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</si>
  <si>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</si>
  <si>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</si>
  <si>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</si>
  <si>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</si>
  <si>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</si>
  <si>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</si>
  <si>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</si>
  <si>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</si>
  <si>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</si>
  <si>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</si>
  <si>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</si>
  <si>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</si>
  <si>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</si>
  <si>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</si>
  <si>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</si>
  <si>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</si>
  <si>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</si>
  <si>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</si>
  <si>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</si>
  <si>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</si>
  <si>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</si>
  <si>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</si>
  <si>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</si>
  <si>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</si>
  <si>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</si>
  <si>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</si>
  <si>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</si>
  <si>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</si>
  <si>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</si>
  <si>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</si>
  <si>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</si>
  <si>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</si>
  <si>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</si>
  <si>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</si>
  <si>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</si>
  <si>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</si>
  <si>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</si>
  <si>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</si>
  <si>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</si>
  <si>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</si>
  <si>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</si>
  <si>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</si>
  <si>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</si>
  <si>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</si>
  <si>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</si>
  <si>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</si>
  <si>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</si>
  <si>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</si>
  <si>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</si>
  <si>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</si>
  <si>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</si>
  <si>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</si>
  <si>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</si>
  <si>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</si>
  <si>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</si>
  <si>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</si>
  <si>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</si>
  <si>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</si>
  <si>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</si>
  <si>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</si>
  <si>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</si>
  <si>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</si>
  <si>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</si>
  <si>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</si>
  <si>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</si>
  <si>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</si>
  <si>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</si>
  <si>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</si>
  <si>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</si>
  <si>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</si>
  <si>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</si>
  <si>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</si>
  <si>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</si>
  <si>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</si>
  <si>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</si>
  <si>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</si>
  <si>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</si>
  <si>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</si>
  <si>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</si>
  <si>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</si>
  <si>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</si>
  <si>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</si>
  <si>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</si>
  <si>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</si>
  <si>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</si>
  <si>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</si>
  <si>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</si>
  <si>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</si>
  <si>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</si>
  <si>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</si>
  <si>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</si>
  <si>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</si>
  <si>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</si>
  <si>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</si>
  <si>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</si>
  <si>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</si>
  <si>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</si>
  <si>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</si>
  <si>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</si>
  <si>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</si>
  <si>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</si>
  <si>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</si>
  <si>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</si>
  <si>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</si>
  <si>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</si>
  <si>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</si>
  <si>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</si>
  <si>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</si>
  <si>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</si>
  <si>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</si>
  <si>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</si>
  <si>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</si>
  <si>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</si>
  <si>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</si>
  <si>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</si>
  <si>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</si>
  <si>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</si>
  <si>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</si>
  <si>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</si>
  <si>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</si>
  <si>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</si>
  <si>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</si>
  <si>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</si>
  <si>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</si>
  <si>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</si>
  <si>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</si>
  <si>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</si>
  <si>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</si>
  <si>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</si>
  <si>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</si>
  <si>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</si>
  <si>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</si>
  <si>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</si>
  <si>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</si>
  <si>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</si>
  <si>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</si>
  <si>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</si>
  <si>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</si>
  <si>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</si>
  <si>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</si>
  <si>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</si>
  <si>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</si>
  <si>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</si>
  <si>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</si>
  <si>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</si>
  <si>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</si>
  <si>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</si>
  <si>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</si>
  <si>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</si>
  <si>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</si>
  <si>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</si>
  <si>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</si>
  <si>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</si>
  <si>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</si>
  <si>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</si>
  <si>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</si>
  <si>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</si>
  <si>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</si>
  <si>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</si>
  <si>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</si>
  <si>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</si>
  <si>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</si>
  <si>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</si>
  <si>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</si>
  <si>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</si>
  <si>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</si>
  <si>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</si>
  <si>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</si>
  <si>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</si>
  <si>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</si>
  <si>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</si>
  <si>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</si>
  <si>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</si>
  <si>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</si>
  <si>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</si>
  <si>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</si>
  <si>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</si>
  <si>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</si>
  <si>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</si>
  <si>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</si>
  <si>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</si>
  <si>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</si>
  <si>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</si>
  <si>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</si>
  <si>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</si>
  <si>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</si>
  <si>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</si>
  <si>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</si>
  <si>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</si>
  <si>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</si>
  <si>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</si>
  <si>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</si>
  <si>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</si>
  <si>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</si>
  <si>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</si>
  <si>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</si>
  <si>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</si>
  <si>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</si>
  <si>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</si>
  <si>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</si>
  <si>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</si>
  <si>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</si>
  <si>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</si>
  <si>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</si>
  <si>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23047</t>
  </si>
  <si>
    <t>MACHELEN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</si>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</sst>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90273.423214195936</c:v>
                </c:pt>
                <c:pt idx="1">
                  <c:v>270790.39265887829</c:v>
                </c:pt>
                <c:pt idx="2">
                  <c:v>1458.644</c:v>
                </c:pt>
                <c:pt idx="3">
                  <c:v>4050.7627658280235</c:v>
                </c:pt>
                <c:pt idx="4">
                  <c:v>20706.728542207351</c:v>
                </c:pt>
                <c:pt idx="5">
                  <c:v>450074.01877836429</c:v>
                </c:pt>
                <c:pt idx="6">
                  <c:v>4216.2689956341783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90273.423214195936</c:v>
                </c:pt>
                <c:pt idx="1">
                  <c:v>270790.39265887829</c:v>
                </c:pt>
                <c:pt idx="2">
                  <c:v>1458.644</c:v>
                </c:pt>
                <c:pt idx="3">
                  <c:v>4050.7627658280235</c:v>
                </c:pt>
                <c:pt idx="4">
                  <c:v>20706.728542207351</c:v>
                </c:pt>
                <c:pt idx="5">
                  <c:v>450074.01877836429</c:v>
                </c:pt>
                <c:pt idx="6">
                  <c:v>4216.2689956341783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18033.400079219497</c:v>
                </c:pt>
                <c:pt idx="1">
                  <c:v>58526.249014681205</c:v>
                </c:pt>
                <c:pt idx="2">
                  <c:v>320.23588879261496</c:v>
                </c:pt>
                <c:pt idx="3">
                  <c:v>825.13088529421134</c:v>
                </c:pt>
                <c:pt idx="4">
                  <c:v>4128.967508954478</c:v>
                </c:pt>
                <c:pt idx="5">
                  <c:v>112694.1309713464</c:v>
                </c:pt>
                <c:pt idx="6">
                  <c:v>1065.2427369698676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18033.400079219497</c:v>
                </c:pt>
                <c:pt idx="1">
                  <c:v>58526.249014681205</c:v>
                </c:pt>
                <c:pt idx="2">
                  <c:v>320.23588879261496</c:v>
                </c:pt>
                <c:pt idx="3">
                  <c:v>825.13088529421134</c:v>
                </c:pt>
                <c:pt idx="4">
                  <c:v>4128.967508954478</c:v>
                </c:pt>
                <c:pt idx="5">
                  <c:v>112694.1309713464</c:v>
                </c:pt>
                <c:pt idx="6">
                  <c:v>1065.2427369698676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23047</v>
      </c>
      <c r="B6" s="415"/>
      <c r="C6" s="416"/>
    </row>
    <row r="7" spans="1:7" s="413" customFormat="1" ht="15.75" customHeight="1">
      <c r="A7" s="417" t="str">
        <f>txtMunicipality</f>
        <v>MACHELEN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5505</v>
      </c>
      <c r="C9" s="342">
        <v>6055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87.51</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9346989.2422326598</v>
      </c>
    </row>
    <row r="39" spans="1:6">
      <c r="A39" s="348" t="s">
        <v>30</v>
      </c>
      <c r="B39" s="348" t="s">
        <v>31</v>
      </c>
      <c r="C39" s="334">
        <v>4897</v>
      </c>
      <c r="D39" s="334">
        <v>74872766.604148999</v>
      </c>
      <c r="E39" s="334">
        <v>5701</v>
      </c>
      <c r="F39" s="334">
        <v>18605616.760655899</v>
      </c>
    </row>
    <row r="40" spans="1:6">
      <c r="A40" s="348" t="s">
        <v>30</v>
      </c>
      <c r="B40" s="348" t="s">
        <v>29</v>
      </c>
      <c r="C40" s="334">
        <v>0</v>
      </c>
      <c r="D40" s="334">
        <v>0</v>
      </c>
      <c r="E40" s="334">
        <v>0</v>
      </c>
      <c r="F40" s="334">
        <v>0</v>
      </c>
    </row>
    <row r="41" spans="1:6">
      <c r="A41" s="348" t="s">
        <v>32</v>
      </c>
      <c r="B41" s="348" t="s">
        <v>33</v>
      </c>
      <c r="C41" s="334">
        <v>39</v>
      </c>
      <c r="D41" s="334">
        <v>5073586.7669149302</v>
      </c>
      <c r="E41" s="334">
        <v>57</v>
      </c>
      <c r="F41" s="334">
        <v>880076.05094245495</v>
      </c>
    </row>
    <row r="42" spans="1:6">
      <c r="A42" s="348" t="s">
        <v>32</v>
      </c>
      <c r="B42" s="348" t="s">
        <v>34</v>
      </c>
      <c r="C42" s="334">
        <v>0</v>
      </c>
      <c r="D42" s="334">
        <v>0</v>
      </c>
      <c r="E42" s="334">
        <v>4</v>
      </c>
      <c r="F42" s="334">
        <v>3270525.7185318898</v>
      </c>
    </row>
    <row r="43" spans="1:6">
      <c r="A43" s="348" t="s">
        <v>32</v>
      </c>
      <c r="B43" s="348" t="s">
        <v>35</v>
      </c>
      <c r="C43" s="334">
        <v>0</v>
      </c>
      <c r="D43" s="334">
        <v>0</v>
      </c>
      <c r="E43" s="334">
        <v>0</v>
      </c>
      <c r="F43" s="334">
        <v>0</v>
      </c>
    </row>
    <row r="44" spans="1:6">
      <c r="A44" s="348" t="s">
        <v>32</v>
      </c>
      <c r="B44" s="348" t="s">
        <v>36</v>
      </c>
      <c r="C44" s="334">
        <v>0</v>
      </c>
      <c r="D44" s="334">
        <v>0</v>
      </c>
      <c r="E44" s="334">
        <v>9</v>
      </c>
      <c r="F44" s="334">
        <v>119625.119812599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63452.694288010498</v>
      </c>
    </row>
    <row r="48" spans="1:6">
      <c r="A48" s="348" t="s">
        <v>32</v>
      </c>
      <c r="B48" s="348" t="s">
        <v>29</v>
      </c>
      <c r="C48" s="334">
        <v>25</v>
      </c>
      <c r="D48" s="334">
        <v>1907861.9991472301</v>
      </c>
      <c r="E48" s="334">
        <v>33</v>
      </c>
      <c r="F48" s="334">
        <v>5741561.2621304803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4</v>
      </c>
      <c r="F51" s="334">
        <v>14203.2649162199</v>
      </c>
    </row>
    <row r="52" spans="1:6">
      <c r="A52" s="348" t="s">
        <v>42</v>
      </c>
      <c r="B52" s="348" t="s">
        <v>29</v>
      </c>
      <c r="C52" s="334">
        <v>1</v>
      </c>
      <c r="D52" s="334">
        <v>12863.175058319999</v>
      </c>
      <c r="E52" s="334">
        <v>2</v>
      </c>
      <c r="F52" s="334">
        <v>7902.5118059265997</v>
      </c>
    </row>
    <row r="53" spans="1:6">
      <c r="A53" s="348" t="s">
        <v>44</v>
      </c>
      <c r="B53" s="348" t="s">
        <v>45</v>
      </c>
      <c r="C53" s="334">
        <v>118</v>
      </c>
      <c r="D53" s="334">
        <v>4347129.1854717704</v>
      </c>
      <c r="E53" s="334">
        <v>321</v>
      </c>
      <c r="F53" s="334">
        <v>2155888.5922260201</v>
      </c>
    </row>
    <row r="54" spans="1:6">
      <c r="A54" s="348" t="s">
        <v>46</v>
      </c>
      <c r="B54" s="348" t="s">
        <v>47</v>
      </c>
      <c r="C54" s="334">
        <v>0</v>
      </c>
      <c r="D54" s="334">
        <v>0</v>
      </c>
      <c r="E54" s="334">
        <v>2</v>
      </c>
      <c r="F54" s="334">
        <v>1458644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991497.37349357398</v>
      </c>
      <c r="E57" s="334">
        <v>37</v>
      </c>
      <c r="F57" s="334">
        <v>849529.20510891499</v>
      </c>
    </row>
    <row r="58" spans="1:6">
      <c r="A58" s="348" t="s">
        <v>49</v>
      </c>
      <c r="B58" s="348" t="s">
        <v>51</v>
      </c>
      <c r="C58" s="334">
        <v>4</v>
      </c>
      <c r="D58" s="334">
        <v>116442.78208924401</v>
      </c>
      <c r="E58" s="334">
        <v>18</v>
      </c>
      <c r="F58" s="334">
        <v>349838.72848762502</v>
      </c>
    </row>
    <row r="59" spans="1:6">
      <c r="A59" s="348" t="s">
        <v>49</v>
      </c>
      <c r="B59" s="348" t="s">
        <v>52</v>
      </c>
      <c r="C59" s="334">
        <v>37</v>
      </c>
      <c r="D59" s="334">
        <v>5509555.1597088799</v>
      </c>
      <c r="E59" s="334">
        <v>129</v>
      </c>
      <c r="F59" s="334">
        <v>17126961.7767714</v>
      </c>
    </row>
    <row r="60" spans="1:6">
      <c r="A60" s="348" t="s">
        <v>49</v>
      </c>
      <c r="B60" s="348" t="s">
        <v>53</v>
      </c>
      <c r="C60" s="334">
        <v>58</v>
      </c>
      <c r="D60" s="334">
        <v>11057730.880404999</v>
      </c>
      <c r="E60" s="334">
        <v>66</v>
      </c>
      <c r="F60" s="334">
        <v>11054680.960952399</v>
      </c>
    </row>
    <row r="61" spans="1:6">
      <c r="A61" s="348" t="s">
        <v>49</v>
      </c>
      <c r="B61" s="348" t="s">
        <v>54</v>
      </c>
      <c r="C61" s="334">
        <v>163</v>
      </c>
      <c r="D61" s="334">
        <v>59699380.063640401</v>
      </c>
      <c r="E61" s="334">
        <v>508</v>
      </c>
      <c r="F61" s="334">
        <v>113004643.70608</v>
      </c>
    </row>
    <row r="62" spans="1:6">
      <c r="A62" s="348" t="s">
        <v>49</v>
      </c>
      <c r="B62" s="348" t="s">
        <v>55</v>
      </c>
      <c r="C62" s="334">
        <v>0</v>
      </c>
      <c r="D62" s="334">
        <v>0</v>
      </c>
      <c r="E62" s="334">
        <v>5</v>
      </c>
      <c r="F62" s="334">
        <v>5845.9515058003999</v>
      </c>
    </row>
    <row r="63" spans="1:6">
      <c r="A63" s="348" t="s">
        <v>49</v>
      </c>
      <c r="B63" s="348" t="s">
        <v>29</v>
      </c>
      <c r="C63" s="334">
        <v>152</v>
      </c>
      <c r="D63" s="334">
        <v>20296364.971914198</v>
      </c>
      <c r="E63" s="334">
        <v>156</v>
      </c>
      <c r="F63" s="334">
        <v>12771581.188797399</v>
      </c>
    </row>
    <row r="64" spans="1:6">
      <c r="A64" s="348" t="s">
        <v>56</v>
      </c>
      <c r="B64" s="348" t="s">
        <v>57</v>
      </c>
      <c r="C64" s="334">
        <v>0</v>
      </c>
      <c r="D64" s="334">
        <v>0</v>
      </c>
      <c r="E64" s="334">
        <v>0</v>
      </c>
      <c r="F64" s="334">
        <v>0</v>
      </c>
    </row>
    <row r="65" spans="1:6">
      <c r="A65" s="348" t="s">
        <v>56</v>
      </c>
      <c r="B65" s="348" t="s">
        <v>29</v>
      </c>
      <c r="C65" s="334">
        <v>5</v>
      </c>
      <c r="D65" s="334">
        <v>609819.28913331195</v>
      </c>
      <c r="E65" s="334">
        <v>5</v>
      </c>
      <c r="F65" s="334">
        <v>187668.23787645</v>
      </c>
    </row>
    <row r="66" spans="1:6">
      <c r="A66" s="348" t="s">
        <v>56</v>
      </c>
      <c r="B66" s="348" t="s">
        <v>58</v>
      </c>
      <c r="C66" s="334">
        <v>0</v>
      </c>
      <c r="D66" s="334">
        <v>0</v>
      </c>
      <c r="E66" s="334">
        <v>20</v>
      </c>
      <c r="F66" s="334">
        <v>1829085.0146355601</v>
      </c>
    </row>
    <row r="67" spans="1:6">
      <c r="A67" s="355" t="s">
        <v>56</v>
      </c>
      <c r="B67" s="355" t="s">
        <v>59</v>
      </c>
      <c r="C67" s="334">
        <v>0</v>
      </c>
      <c r="D67" s="334">
        <v>0</v>
      </c>
      <c r="E67" s="334">
        <v>0</v>
      </c>
      <c r="F67" s="334">
        <v>0</v>
      </c>
    </row>
    <row r="68" spans="1:6">
      <c r="A68" s="341" t="s">
        <v>56</v>
      </c>
      <c r="B68" s="341" t="s">
        <v>60</v>
      </c>
      <c r="C68" s="334">
        <v>9</v>
      </c>
      <c r="D68" s="334">
        <v>1238047.47256525</v>
      </c>
      <c r="E68" s="334">
        <v>10</v>
      </c>
      <c r="F68" s="334">
        <v>229595.65876599599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65645805</v>
      </c>
      <c r="E73" s="476">
        <v>82650346.676154256</v>
      </c>
    </row>
    <row r="74" spans="1:6">
      <c r="A74" s="348" t="s">
        <v>64</v>
      </c>
      <c r="B74" s="348" t="s">
        <v>657</v>
      </c>
      <c r="C74" s="1272" t="s">
        <v>659</v>
      </c>
      <c r="D74" s="476">
        <v>5310380.6914552543</v>
      </c>
      <c r="E74" s="476">
        <v>5943563.3857237352</v>
      </c>
    </row>
    <row r="75" spans="1:6">
      <c r="A75" s="348" t="s">
        <v>65</v>
      </c>
      <c r="B75" s="348" t="s">
        <v>656</v>
      </c>
      <c r="C75" s="1272" t="s">
        <v>660</v>
      </c>
      <c r="D75" s="476">
        <v>32206334</v>
      </c>
      <c r="E75" s="476">
        <v>40432015.064862676</v>
      </c>
    </row>
    <row r="76" spans="1:6">
      <c r="A76" s="348" t="s">
        <v>65</v>
      </c>
      <c r="B76" s="348" t="s">
        <v>657</v>
      </c>
      <c r="C76" s="1272" t="s">
        <v>661</v>
      </c>
      <c r="D76" s="476">
        <v>1889341.6914552548</v>
      </c>
      <c r="E76" s="476">
        <v>2151995.0143781668</v>
      </c>
    </row>
    <row r="77" spans="1:6">
      <c r="A77" s="348" t="s">
        <v>66</v>
      </c>
      <c r="B77" s="348" t="s">
        <v>656</v>
      </c>
      <c r="C77" s="1272" t="s">
        <v>662</v>
      </c>
      <c r="D77" s="476">
        <v>384485293</v>
      </c>
      <c r="E77" s="476">
        <v>431016176.88835114</v>
      </c>
    </row>
    <row r="78" spans="1:6">
      <c r="A78" s="341" t="s">
        <v>66</v>
      </c>
      <c r="B78" s="341" t="s">
        <v>657</v>
      </c>
      <c r="C78" s="341" t="s">
        <v>663</v>
      </c>
      <c r="D78" s="1273">
        <v>39741424</v>
      </c>
      <c r="E78" s="1273">
        <v>44298504.344331749</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1143522.6170894906</v>
      </c>
      <c r="C83" s="476">
        <v>1145078.782167573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948.79111601429531</v>
      </c>
    </row>
    <row r="92" spans="1:6">
      <c r="A92" s="341" t="s">
        <v>69</v>
      </c>
      <c r="B92" s="342">
        <v>280.04825383806218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3462</v>
      </c>
    </row>
    <row r="98" spans="1:6">
      <c r="A98" s="348" t="s">
        <v>72</v>
      </c>
      <c r="B98" s="334">
        <v>6</v>
      </c>
    </row>
    <row r="99" spans="1:6">
      <c r="A99" s="348" t="s">
        <v>73</v>
      </c>
      <c r="B99" s="334">
        <v>10</v>
      </c>
    </row>
    <row r="100" spans="1:6">
      <c r="A100" s="348" t="s">
        <v>74</v>
      </c>
      <c r="B100" s="334">
        <v>268</v>
      </c>
    </row>
    <row r="101" spans="1:6">
      <c r="A101" s="348" t="s">
        <v>75</v>
      </c>
      <c r="B101" s="334">
        <v>18</v>
      </c>
    </row>
    <row r="102" spans="1:6">
      <c r="A102" s="348" t="s">
        <v>76</v>
      </c>
      <c r="B102" s="334">
        <v>86</v>
      </c>
    </row>
    <row r="103" spans="1:6">
      <c r="A103" s="348" t="s">
        <v>77</v>
      </c>
      <c r="B103" s="334">
        <v>66</v>
      </c>
    </row>
    <row r="104" spans="1:6">
      <c r="A104" s="348" t="s">
        <v>78</v>
      </c>
      <c r="B104" s="334">
        <v>830</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23</v>
      </c>
    </row>
    <row r="130" spans="1:6">
      <c r="A130" s="348" t="s">
        <v>295</v>
      </c>
      <c r="B130" s="334">
        <v>1</v>
      </c>
    </row>
    <row r="131" spans="1:6">
      <c r="A131" s="348" t="s">
        <v>296</v>
      </c>
      <c r="B131" s="334">
        <v>17</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186463.23316076107</v>
      </c>
      <c r="C3" s="43" t="s">
        <v>170</v>
      </c>
      <c r="D3" s="43"/>
      <c r="E3" s="154"/>
      <c r="F3" s="43"/>
      <c r="G3" s="43"/>
      <c r="H3" s="43"/>
      <c r="I3" s="43"/>
      <c r="J3" s="43"/>
      <c r="K3" s="96"/>
    </row>
    <row r="4" spans="1:11">
      <c r="A4" s="383" t="s">
        <v>171</v>
      </c>
      <c r="B4" s="49">
        <f>IF(ISERROR('SEAP template'!B69),0,'SEAP template'!B69)</f>
        <v>1228.8393698523575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0.21954355469368467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1458.644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1458.644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0.21954355469368467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320.23588879261496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18605.616760655899</v>
      </c>
      <c r="C5" s="17">
        <f>IF(ISERROR('Eigen informatie GS &amp; warmtenet'!B57),0,'Eigen informatie GS &amp; warmtenet'!B57)</f>
        <v>0</v>
      </c>
      <c r="D5" s="30">
        <f>(SUM(HH_hh_gas_kWh,HH_rest_gas_kWh)/1000)*0.902</f>
        <v>67535.235476942398</v>
      </c>
      <c r="E5" s="17">
        <f>B46*B57</f>
        <v>432.76783128973017</v>
      </c>
      <c r="F5" s="17">
        <f>B51*B62</f>
        <v>0</v>
      </c>
      <c r="G5" s="18"/>
      <c r="H5" s="17"/>
      <c r="I5" s="17"/>
      <c r="J5" s="17">
        <f>B50*B61+C50*C61</f>
        <v>0</v>
      </c>
      <c r="K5" s="17"/>
      <c r="L5" s="17"/>
      <c r="M5" s="17"/>
      <c r="N5" s="17">
        <f>B48*B59+C48*C59</f>
        <v>2654.7286959602825</v>
      </c>
      <c r="O5" s="17">
        <f>B69*B70*B71</f>
        <v>39.083333333333336</v>
      </c>
      <c r="P5" s="17">
        <f>B77*B78*B79/1000-B77*B78*B79/1000/B80</f>
        <v>57.2</v>
      </c>
    </row>
    <row r="6" spans="1:16">
      <c r="A6" s="16" t="s">
        <v>621</v>
      </c>
      <c r="B6" s="843">
        <f>kWh_PV_kleiner_dan_10kW</f>
        <v>948.79111601429531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19554.407876670193</v>
      </c>
      <c r="C8" s="21">
        <f>C5</f>
        <v>0</v>
      </c>
      <c r="D8" s="21">
        <f>D5</f>
        <v>67535.235476942398</v>
      </c>
      <c r="E8" s="21">
        <f>E5</f>
        <v>432.76783128973017</v>
      </c>
      <c r="F8" s="21">
        <f>F5</f>
        <v>0</v>
      </c>
      <c r="G8" s="21"/>
      <c r="H8" s="21"/>
      <c r="I8" s="21"/>
      <c r="J8" s="21">
        <f>J5</f>
        <v>0</v>
      </c>
      <c r="K8" s="21"/>
      <c r="L8" s="21">
        <f>L5</f>
        <v>0</v>
      </c>
      <c r="M8" s="21">
        <f>M5</f>
        <v>0</v>
      </c>
      <c r="N8" s="21">
        <f>N5</f>
        <v>2654.7286959602825</v>
      </c>
      <c r="O8" s="21">
        <f>O5</f>
        <v>39.083333333333336</v>
      </c>
      <c r="P8" s="21">
        <f>P5</f>
        <v>57.2</v>
      </c>
    </row>
    <row r="9" spans="1:16">
      <c r="B9" s="19"/>
      <c r="C9" s="19"/>
      <c r="D9" s="258"/>
      <c r="E9" s="19"/>
      <c r="F9" s="19"/>
      <c r="G9" s="19"/>
      <c r="H9" s="19"/>
      <c r="I9" s="19"/>
      <c r="J9" s="19"/>
      <c r="K9" s="19"/>
      <c r="L9" s="19"/>
      <c r="M9" s="19"/>
      <c r="N9" s="19"/>
      <c r="O9" s="19"/>
      <c r="P9" s="19"/>
    </row>
    <row r="10" spans="1:16">
      <c r="A10" s="24" t="s">
        <v>214</v>
      </c>
      <c r="B10" s="25">
        <f ca="1">'EF ele_warmte'!B12</f>
        <v>0.21954355469368467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4293.0442151743609</v>
      </c>
      <c r="C12" s="23">
        <f ca="1">C10*C8</f>
        <v>0</v>
      </c>
      <c r="D12" s="23">
        <f>D8*D10</f>
        <v>13642.117566342366</v>
      </c>
      <c r="E12" s="23">
        <f>E10*E8</f>
        <v>98.238297702768747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3462</v>
      </c>
      <c r="C18" s="166" t="s">
        <v>111</v>
      </c>
      <c r="D18" s="228"/>
      <c r="E18" s="15"/>
    </row>
    <row r="19" spans="1:7">
      <c r="A19" s="171" t="s">
        <v>72</v>
      </c>
      <c r="B19" s="37">
        <f>aantalw2001_ander</f>
        <v>6</v>
      </c>
      <c r="C19" s="166" t="s">
        <v>111</v>
      </c>
      <c r="D19" s="229"/>
      <c r="E19" s="15"/>
    </row>
    <row r="20" spans="1:7">
      <c r="A20" s="171" t="s">
        <v>73</v>
      </c>
      <c r="B20" s="37">
        <f>aantalw2001_propaan</f>
        <v>10</v>
      </c>
      <c r="C20" s="167">
        <f>IF(ISERROR(B20/SUM($B$20,$B$21,$B$22)*100),0,B20/SUM($B$20,$B$21,$B$22)*100)</f>
        <v>3.3783783783783785</v>
      </c>
      <c r="D20" s="229"/>
      <c r="E20" s="15"/>
    </row>
    <row r="21" spans="1:7">
      <c r="A21" s="171" t="s">
        <v>74</v>
      </c>
      <c r="B21" s="37">
        <f>aantalw2001_elektriciteit</f>
        <v>268</v>
      </c>
      <c r="C21" s="167">
        <f>IF(ISERROR(B21/SUM($B$20,$B$21,$B$22)*100),0,B21/SUM($B$20,$B$21,$B$22)*100)</f>
        <v>90.540540540540533</v>
      </c>
      <c r="D21" s="229"/>
      <c r="E21" s="15"/>
    </row>
    <row r="22" spans="1:7">
      <c r="A22" s="171" t="s">
        <v>75</v>
      </c>
      <c r="B22" s="37">
        <f>aantalw2001_hout</f>
        <v>18</v>
      </c>
      <c r="C22" s="167">
        <f>IF(ISERROR(B22/SUM($B$20,$B$21,$B$22)*100),0,B22/SUM($B$20,$B$21,$B$22)*100)</f>
        <v>6.0810810810810816</v>
      </c>
      <c r="D22" s="229"/>
      <c r="E22" s="15"/>
    </row>
    <row r="23" spans="1:7">
      <c r="A23" s="171" t="s">
        <v>76</v>
      </c>
      <c r="B23" s="37">
        <f>aantalw2001_niet_gespec</f>
        <v>86</v>
      </c>
      <c r="C23" s="166" t="s">
        <v>111</v>
      </c>
      <c r="D23" s="228"/>
      <c r="E23" s="15"/>
    </row>
    <row r="24" spans="1:7">
      <c r="A24" s="171" t="s">
        <v>77</v>
      </c>
      <c r="B24" s="37">
        <f>aantalw2001_steenkool</f>
        <v>66</v>
      </c>
      <c r="C24" s="166" t="s">
        <v>111</v>
      </c>
      <c r="D24" s="229"/>
      <c r="E24" s="15"/>
    </row>
    <row r="25" spans="1:7">
      <c r="A25" s="171" t="s">
        <v>78</v>
      </c>
      <c r="B25" s="37">
        <f>aantalw2001_stookolie</f>
        <v>830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5505</v>
      </c>
      <c r="C28" s="36"/>
      <c r="D28" s="228"/>
    </row>
    <row r="29" spans="1:7" s="15" customFormat="1">
      <c r="A29" s="230" t="s">
        <v>795</v>
      </c>
      <c r="B29" s="37">
        <f>SUM(HH_hh_gas_aantal,HH_rest_gas_aantal)</f>
        <v>4897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4897</v>
      </c>
      <c r="C32" s="167">
        <f>IF(ISERROR(B32/SUM($B$32,$B$34,$B$35,$B$36,$B$38,$B$39)*100),0,B32/SUM($B$32,$B$34,$B$35,$B$36,$B$38,$B$39)*100)</f>
        <v>89.003998545983279</v>
      </c>
      <c r="D32" s="233"/>
      <c r="G32" s="15"/>
    </row>
    <row r="33" spans="1:7">
      <c r="A33" s="171" t="s">
        <v>72</v>
      </c>
      <c r="B33" s="34" t="s">
        <v>111</v>
      </c>
      <c r="C33" s="167"/>
      <c r="D33" s="233"/>
      <c r="G33" s="15"/>
    </row>
    <row r="34" spans="1:7">
      <c r="A34" s="171" t="s">
        <v>73</v>
      </c>
      <c r="B34" s="33">
        <f>IF((($B$28-$B$32-$B$39-$B$77-$B$38)*C20/100)&lt;0,0,($B$28-$B$32-$B$39-$B$77-$B$38)*C20/100)</f>
        <v>20.439189189189189</v>
      </c>
      <c r="C34" s="167">
        <f>IF(ISERROR(B34/SUM($B$32,$B$34,$B$35,$B$36,$B$38,$B$39)*100),0,B34/SUM($B$32,$B$34,$B$35,$B$36,$B$38,$B$39)*100)</f>
        <v>0.37148653560867301</v>
      </c>
      <c r="D34" s="233"/>
      <c r="G34" s="15"/>
    </row>
    <row r="35" spans="1:7">
      <c r="A35" s="171" t="s">
        <v>74</v>
      </c>
      <c r="B35" s="33">
        <f>IF((($B$28-$B$32-$B$39-$B$77-$B$38)*C21/100)&lt;0,0,($B$28-$B$32-$B$39-$B$77-$B$38)*C21/100)</f>
        <v>547.7702702702702</v>
      </c>
      <c r="C35" s="167">
        <f>IF(ISERROR(B35/SUM($B$32,$B$34,$B$35,$B$36,$B$38,$B$39)*100),0,B35/SUM($B$32,$B$34,$B$35,$B$36,$B$38,$B$39)*100)</f>
        <v>9.9558391543124358</v>
      </c>
      <c r="D35" s="233"/>
      <c r="G35" s="15"/>
    </row>
    <row r="36" spans="1:7">
      <c r="A36" s="171" t="s">
        <v>75</v>
      </c>
      <c r="B36" s="33">
        <f>IF((($B$28-$B$32-$B$39-$B$77-$B$38)*C22/100)&lt;0,0,($B$28-$B$32-$B$39-$B$77-$B$38)*C22/100)</f>
        <v>36.79054054054054</v>
      </c>
      <c r="C36" s="167">
        <f>IF(ISERROR(B36/SUM($B$32,$B$34,$B$35,$B$36,$B$38,$B$39)*100),0,B36/SUM($B$32,$B$34,$B$35,$B$36,$B$38,$B$39)*100)</f>
        <v>0.66867576409561147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4897</v>
      </c>
      <c r="C44" s="34" t="s">
        <v>111</v>
      </c>
      <c r="D44" s="174"/>
    </row>
    <row r="45" spans="1:7">
      <c r="A45" s="171" t="s">
        <v>72</v>
      </c>
      <c r="B45" s="33" t="str">
        <f t="shared" si="0"/>
        <v>-</v>
      </c>
      <c r="C45" s="34" t="s">
        <v>111</v>
      </c>
      <c r="D45" s="174"/>
    </row>
    <row r="46" spans="1:7">
      <c r="A46" s="171" t="s">
        <v>73</v>
      </c>
      <c r="B46" s="33">
        <f t="shared" si="0"/>
        <v>20.439189189189189</v>
      </c>
      <c r="C46" s="34" t="s">
        <v>111</v>
      </c>
      <c r="D46" s="174"/>
    </row>
    <row r="47" spans="1:7">
      <c r="A47" s="171" t="s">
        <v>74</v>
      </c>
      <c r="B47" s="33">
        <f t="shared" si="0"/>
        <v>547.7702702702702</v>
      </c>
      <c r="C47" s="34" t="s">
        <v>111</v>
      </c>
      <c r="D47" s="174"/>
    </row>
    <row r="48" spans="1:7">
      <c r="A48" s="171" t="s">
        <v>75</v>
      </c>
      <c r="B48" s="33">
        <f t="shared" si="0"/>
        <v>36.79054054054054</v>
      </c>
      <c r="C48" s="33">
        <f>B48*10</f>
        <v>367.90540540540542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155163.08151770354</v>
      </c>
      <c r="C5" s="17">
        <f>IF(ISERROR('Eigen informatie GS &amp; warmtenet'!B58),0,'Eigen informatie GS &amp; warmtenet'!B58)</f>
        <v>0</v>
      </c>
      <c r="D5" s="30">
        <f>SUM(D6:D12)</f>
        <v>88099.216050588671</v>
      </c>
      <c r="E5" s="17">
        <f>SUM(E6:E12)</f>
        <v>939.92224492475862</v>
      </c>
      <c r="F5" s="17">
        <f>SUM(F6:F12)</f>
        <v>24163.944095302832</v>
      </c>
      <c r="G5" s="18"/>
      <c r="H5" s="17"/>
      <c r="I5" s="17"/>
      <c r="J5" s="17">
        <f>SUM(J6:J12)</f>
        <v>4.9366655139293239E-2</v>
      </c>
      <c r="K5" s="17"/>
      <c r="L5" s="17"/>
      <c r="M5" s="17"/>
      <c r="N5" s="17">
        <f>SUM(N6:N12)</f>
        <v>2098.482717036673</v>
      </c>
      <c r="O5" s="17">
        <f>B38*B39*B40</f>
        <v>1.5633333333333335</v>
      </c>
      <c r="P5" s="17">
        <f>B46*B47*B48/1000-B46*B47*B48/1000/B49</f>
        <v>324.13333333333333</v>
      </c>
      <c r="R5" s="32"/>
    </row>
    <row r="6" spans="1:18">
      <c r="A6" s="32" t="s">
        <v>54</v>
      </c>
      <c r="B6" s="37">
        <f>B26</f>
        <v>113004.64370608001</v>
      </c>
      <c r="C6" s="33"/>
      <c r="D6" s="37">
        <f>IF(ISERROR(TER_kantoor_gas_kWh/1000),0,TER_kantoor_gas_kWh/1000)*0.902</f>
        <v>53848.840817403638</v>
      </c>
      <c r="E6" s="33">
        <f>$C$26*'E Balans VL '!I12/100/3.6*1000000</f>
        <v>0.70827552199403121</v>
      </c>
      <c r="F6" s="33">
        <f>$C$26*('E Balans VL '!L12+'E Balans VL '!N12)/100/3.6*1000000</f>
        <v>16981.44029812163</v>
      </c>
      <c r="G6" s="34"/>
      <c r="H6" s="33"/>
      <c r="I6" s="33"/>
      <c r="J6" s="33">
        <f>$C$26*('E Balans VL '!D12+'E Balans VL '!E12)/100/3.6*1000000</f>
        <v>0</v>
      </c>
      <c r="K6" s="33"/>
      <c r="L6" s="33"/>
      <c r="M6" s="33"/>
      <c r="N6" s="33">
        <f>$C$26*'E Balans VL '!Y12/100/3.6*1000000</f>
        <v>108.07218692769706</v>
      </c>
      <c r="O6" s="33"/>
      <c r="P6" s="33"/>
      <c r="R6" s="32"/>
    </row>
    <row r="7" spans="1:18">
      <c r="A7" s="32" t="s">
        <v>53</v>
      </c>
      <c r="B7" s="37">
        <f t="shared" ref="B7:B12" si="0">B27</f>
        <v>11054.680960952399</v>
      </c>
      <c r="C7" s="33"/>
      <c r="D7" s="37">
        <f>IF(ISERROR(TER_horeca_gas_kWh/1000),0,TER_horeca_gas_kWh/1000)*0.902</f>
        <v>9974.0732541253092</v>
      </c>
      <c r="E7" s="33">
        <f>$C$27*'E Balans VL '!I9/100/3.6*1000000</f>
        <v>158.3011900025021</v>
      </c>
      <c r="F7" s="33">
        <f>$C$27*('E Balans VL '!L9+'E Balans VL '!N9)/100/3.6*1000000</f>
        <v>1399.8872070810969</v>
      </c>
      <c r="G7" s="34"/>
      <c r="H7" s="33"/>
      <c r="I7" s="33"/>
      <c r="J7" s="33">
        <f>$C$27*('E Balans VL '!D9+'E Balans VL '!E9)/100/3.6*1000000</f>
        <v>0</v>
      </c>
      <c r="K7" s="33"/>
      <c r="L7" s="33"/>
      <c r="M7" s="33"/>
      <c r="N7" s="33">
        <f>$C$27*'E Balans VL '!Y9/100/3.6*1000000</f>
        <v>3.1779770414807396</v>
      </c>
      <c r="O7" s="33"/>
      <c r="P7" s="33"/>
      <c r="R7" s="32"/>
    </row>
    <row r="8" spans="1:18">
      <c r="A8" s="6" t="s">
        <v>52</v>
      </c>
      <c r="B8" s="37">
        <f t="shared" si="0"/>
        <v>17126.961776771401</v>
      </c>
      <c r="C8" s="33"/>
      <c r="D8" s="37">
        <f>IF(ISERROR(TER_handel_gas_kWh/1000),0,TER_handel_gas_kWh/1000)*0.902</f>
        <v>4969.6187540574092</v>
      </c>
      <c r="E8" s="33">
        <f>$C$28*'E Balans VL '!I13/100/3.6*1000000</f>
        <v>621.19279164119337</v>
      </c>
      <c r="F8" s="33">
        <f>$C$28*('E Balans VL '!L13+'E Balans VL '!N13)/100/3.6*1000000</f>
        <v>3298.8262597199569</v>
      </c>
      <c r="G8" s="34"/>
      <c r="H8" s="33"/>
      <c r="I8" s="33"/>
      <c r="J8" s="33">
        <f>$C$28*('E Balans VL '!D13+'E Balans VL '!E13)/100/3.6*1000000</f>
        <v>0</v>
      </c>
      <c r="K8" s="33"/>
      <c r="L8" s="33"/>
      <c r="M8" s="33"/>
      <c r="N8" s="33">
        <f>$C$28*'E Balans VL '!Y13/100/3.6*1000000</f>
        <v>23.724782798981568</v>
      </c>
      <c r="O8" s="33"/>
      <c r="P8" s="33"/>
      <c r="R8" s="32"/>
    </row>
    <row r="9" spans="1:18">
      <c r="A9" s="32" t="s">
        <v>51</v>
      </c>
      <c r="B9" s="37">
        <f t="shared" si="0"/>
        <v>349.83872848762502</v>
      </c>
      <c r="C9" s="33"/>
      <c r="D9" s="37">
        <f>IF(ISERROR(TER_gezond_gas_kWh/1000),0,TER_gezond_gas_kWh/1000)*0.902</f>
        <v>105.03138944449809</v>
      </c>
      <c r="E9" s="33">
        <f>$C$29*'E Balans VL '!I10/100/3.6*1000000</f>
        <v>2.1903358436761916E-2</v>
      </c>
      <c r="F9" s="33">
        <f>$C$29*('E Balans VL '!L10+'E Balans VL '!N10)/100/3.6*1000000</f>
        <v>51.969608274324713</v>
      </c>
      <c r="G9" s="34"/>
      <c r="H9" s="33"/>
      <c r="I9" s="33"/>
      <c r="J9" s="33">
        <f>$C$29*('E Balans VL '!D10+'E Balans VL '!E10)/100/3.6*1000000</f>
        <v>0</v>
      </c>
      <c r="K9" s="33"/>
      <c r="L9" s="33"/>
      <c r="M9" s="33"/>
      <c r="N9" s="33">
        <f>$C$29*'E Balans VL '!Y10/100/3.6*1000000</f>
        <v>5.4113392087983669</v>
      </c>
      <c r="O9" s="33"/>
      <c r="P9" s="33"/>
      <c r="R9" s="32"/>
    </row>
    <row r="10" spans="1:18">
      <c r="A10" s="32" t="s">
        <v>50</v>
      </c>
      <c r="B10" s="37">
        <f t="shared" si="0"/>
        <v>849.52920510891499</v>
      </c>
      <c r="C10" s="33"/>
      <c r="D10" s="37">
        <f>IF(ISERROR(TER_ander_gas_kWh/1000),0,TER_ander_gas_kWh/1000)*0.902</f>
        <v>894.33063089120367</v>
      </c>
      <c r="E10" s="33">
        <f>$C$30*'E Balans VL '!I14/100/3.6*1000000</f>
        <v>1.0126084554454753</v>
      </c>
      <c r="F10" s="33">
        <f>$C$30*('E Balans VL '!L14+'E Balans VL '!N14)/100/3.6*1000000</f>
        <v>222.27460715860445</v>
      </c>
      <c r="G10" s="34"/>
      <c r="H10" s="33"/>
      <c r="I10" s="33"/>
      <c r="J10" s="33">
        <f>$C$30*('E Balans VL '!D14+'E Balans VL '!E14)/100/3.6*1000000</f>
        <v>1.8439948980380073E-2</v>
      </c>
      <c r="K10" s="33"/>
      <c r="L10" s="33"/>
      <c r="M10" s="33"/>
      <c r="N10" s="33">
        <f>$C$30*'E Balans VL '!Y14/100/3.6*1000000</f>
        <v>721.39941329144915</v>
      </c>
      <c r="O10" s="33"/>
      <c r="P10" s="33"/>
      <c r="R10" s="32"/>
    </row>
    <row r="11" spans="1:18">
      <c r="A11" s="32" t="s">
        <v>55</v>
      </c>
      <c r="B11" s="37">
        <f t="shared" si="0"/>
        <v>5.8459515058004001</v>
      </c>
      <c r="C11" s="33"/>
      <c r="D11" s="37">
        <f>IF(ISERROR(TER_onderwijs_gas_kWh/1000),0,TER_onderwijs_gas_kWh/1000)*0.902</f>
        <v>0</v>
      </c>
      <c r="E11" s="33">
        <f>$C$31*'E Balans VL '!I11/100/3.6*1000000</f>
        <v>8.8205992422282373E-2</v>
      </c>
      <c r="F11" s="33">
        <f>$C$31*('E Balans VL '!L11+'E Balans VL '!N11)/100/3.6*1000000</f>
        <v>1.0243040956699117</v>
      </c>
      <c r="G11" s="34"/>
      <c r="H11" s="33"/>
      <c r="I11" s="33"/>
      <c r="J11" s="33">
        <f>$C$31*('E Balans VL '!D11+'E Balans VL '!E11)/100/3.6*1000000</f>
        <v>0</v>
      </c>
      <c r="K11" s="33"/>
      <c r="L11" s="33"/>
      <c r="M11" s="33"/>
      <c r="N11" s="33">
        <f>$C$31*'E Balans VL '!Y11/100/3.6*1000000</f>
        <v>1.6450951963480377E-2</v>
      </c>
      <c r="O11" s="33"/>
      <c r="P11" s="33"/>
      <c r="R11" s="32"/>
    </row>
    <row r="12" spans="1:18">
      <c r="A12" s="32" t="s">
        <v>260</v>
      </c>
      <c r="B12" s="37">
        <f t="shared" si="0"/>
        <v>12771.5811887974</v>
      </c>
      <c r="C12" s="33"/>
      <c r="D12" s="37">
        <f>IF(ISERROR(TER_rest_gas_kWh/1000),0,TER_rest_gas_kWh/1000)*0.902</f>
        <v>18307.321204666609</v>
      </c>
      <c r="E12" s="33">
        <f>$C$32*'E Balans VL '!I8/100/3.6*1000000</f>
        <v>158.59726995276444</v>
      </c>
      <c r="F12" s="33">
        <f>$C$32*('E Balans VL '!L8+'E Balans VL '!N8)/100/3.6*1000000</f>
        <v>2208.5218108515492</v>
      </c>
      <c r="G12" s="34"/>
      <c r="H12" s="33"/>
      <c r="I12" s="33"/>
      <c r="J12" s="33">
        <f>$C$32*('E Balans VL '!D8+'E Balans VL '!E8)/100/3.6*1000000</f>
        <v>3.0926706158913169E-2</v>
      </c>
      <c r="K12" s="33"/>
      <c r="L12" s="33"/>
      <c r="M12" s="33"/>
      <c r="N12" s="33">
        <f>$C$32*'E Balans VL '!Y8/100/3.6*1000000</f>
        <v>1236.6805668163026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155163.08151770354</v>
      </c>
      <c r="C16" s="21">
        <f t="shared" ca="1" si="1"/>
        <v>0</v>
      </c>
      <c r="D16" s="21">
        <f t="shared" ca="1" si="1"/>
        <v>88099.216050588671</v>
      </c>
      <c r="E16" s="21">
        <f t="shared" si="1"/>
        <v>939.92224492475862</v>
      </c>
      <c r="F16" s="21">
        <f t="shared" ca="1" si="1"/>
        <v>24163.944095302832</v>
      </c>
      <c r="G16" s="21">
        <f t="shared" si="1"/>
        <v>0</v>
      </c>
      <c r="H16" s="21">
        <f t="shared" si="1"/>
        <v>0</v>
      </c>
      <c r="I16" s="21">
        <f t="shared" si="1"/>
        <v>0</v>
      </c>
      <c r="J16" s="21">
        <f t="shared" si="1"/>
        <v>4.9366655139293239E-2</v>
      </c>
      <c r="K16" s="21">
        <f t="shared" si="1"/>
        <v>0</v>
      </c>
      <c r="L16" s="21">
        <f t="shared" ca="1" si="1"/>
        <v>0</v>
      </c>
      <c r="M16" s="21">
        <f t="shared" si="1"/>
        <v>0</v>
      </c>
      <c r="N16" s="21">
        <f t="shared" ca="1" si="1"/>
        <v>2098.482717036673</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0.21954355469368467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34065.0544736226</v>
      </c>
      <c r="C20" s="23">
        <f t="shared" ref="C20:P20" ca="1" si="2">C16*C18</f>
        <v>0</v>
      </c>
      <c r="D20" s="23">
        <f t="shared" ca="1" si="2"/>
        <v>17796.041642218912</v>
      </c>
      <c r="E20" s="23">
        <f t="shared" si="2"/>
        <v>213.3623495979202</v>
      </c>
      <c r="F20" s="23">
        <f t="shared" ca="1" si="2"/>
        <v>6451.7730734458564</v>
      </c>
      <c r="G20" s="23">
        <f t="shared" si="2"/>
        <v>0</v>
      </c>
      <c r="H20" s="23">
        <f t="shared" si="2"/>
        <v>0</v>
      </c>
      <c r="I20" s="23">
        <f t="shared" si="2"/>
        <v>0</v>
      </c>
      <c r="J20" s="23">
        <f t="shared" si="2"/>
        <v>1.7475795919309804E-2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113004.64370608001</v>
      </c>
      <c r="C26" s="39">
        <f>IF(ISERROR(B26*3.6/1000000/'E Balans VL '!Z12*100),0,B26*3.6/1000000/'E Balans VL '!Z12*100)</f>
        <v>2.3887391541310476</v>
      </c>
      <c r="D26" s="237" t="s">
        <v>754</v>
      </c>
      <c r="F26" s="6"/>
    </row>
    <row r="27" spans="1:18">
      <c r="A27" s="231" t="s">
        <v>53</v>
      </c>
      <c r="B27" s="33">
        <f>IF(ISERROR(TER_horeca_ele_kWh/1000),0,TER_horeca_ele_kWh/1000)</f>
        <v>11054.680960952399</v>
      </c>
      <c r="C27" s="39">
        <f>IF(ISERROR(B27*3.6/1000000/'E Balans VL '!Z9*100),0,B27*3.6/1000000/'E Balans VL '!Z9*100)</f>
        <v>0.87143637986193523</v>
      </c>
      <c r="D27" s="237" t="s">
        <v>754</v>
      </c>
      <c r="F27" s="6"/>
    </row>
    <row r="28" spans="1:18">
      <c r="A28" s="171" t="s">
        <v>52</v>
      </c>
      <c r="B28" s="33">
        <f>IF(ISERROR(TER_handel_ele_kWh/1000),0,TER_handel_ele_kWh/1000)</f>
        <v>17126.961776771401</v>
      </c>
      <c r="C28" s="39">
        <f>IF(ISERROR(B28*3.6/1000000/'E Balans VL '!Z13*100),0,B28*3.6/1000000/'E Balans VL '!Z13*100)</f>
        <v>0.49709363144184282</v>
      </c>
      <c r="D28" s="237" t="s">
        <v>754</v>
      </c>
      <c r="F28" s="6"/>
    </row>
    <row r="29" spans="1:18">
      <c r="A29" s="231" t="s">
        <v>51</v>
      </c>
      <c r="B29" s="33">
        <f>IF(ISERROR(TER_gezond_ele_kWh/1000),0,TER_gezond_ele_kWh/1000)</f>
        <v>349.83872848762502</v>
      </c>
      <c r="C29" s="39">
        <f>IF(ISERROR(B29*3.6/1000000/'E Balans VL '!Z10*100),0,B29*3.6/1000000/'E Balans VL '!Z10*100)</f>
        <v>3.684376261330137E-2</v>
      </c>
      <c r="D29" s="237" t="s">
        <v>754</v>
      </c>
      <c r="F29" s="6"/>
    </row>
    <row r="30" spans="1:18">
      <c r="A30" s="231" t="s">
        <v>50</v>
      </c>
      <c r="B30" s="33">
        <f>IF(ISERROR(TER_ander_ele_kWh/1000),0,TER_ander_ele_kWh/1000)</f>
        <v>849.52920510891499</v>
      </c>
      <c r="C30" s="39">
        <f>IF(ISERROR(B30*3.6/1000000/'E Balans VL '!Z14*100),0,B30*3.6/1000000/'E Balans VL '!Z14*100)</f>
        <v>6.2661458685659074E-2</v>
      </c>
      <c r="D30" s="237" t="s">
        <v>754</v>
      </c>
      <c r="F30" s="6"/>
    </row>
    <row r="31" spans="1:18">
      <c r="A31" s="231" t="s">
        <v>55</v>
      </c>
      <c r="B31" s="33">
        <f>IF(ISERROR(TER_onderwijs_ele_kWh/1000),0,TER_onderwijs_ele_kWh/1000)</f>
        <v>5.8459515058004001</v>
      </c>
      <c r="C31" s="39">
        <f>IF(ISERROR(B31*3.6/1000000/'E Balans VL '!Z11*100),0,B31*3.6/1000000/'E Balans VL '!Z11*100)</f>
        <v>1.4518235993858017E-3</v>
      </c>
      <c r="D31" s="237" t="s">
        <v>754</v>
      </c>
    </row>
    <row r="32" spans="1:18">
      <c r="A32" s="231" t="s">
        <v>260</v>
      </c>
      <c r="B32" s="33">
        <f>IF(ISERROR(TER_rest_ele_kWh/1000),0,TER_rest_ele_kWh/1000)</f>
        <v>12771.5811887974</v>
      </c>
      <c r="C32" s="39">
        <f>IF(ISERROR(B32*3.6/1000000/'E Balans VL '!Z8*100),0,B32*3.6/1000000/'E Balans VL '!Z8*100)</f>
        <v>0.105093160633046</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17</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10075.240845705433</v>
      </c>
      <c r="C5" s="17">
        <f>IF(ISERROR('Eigen informatie GS &amp; warmtenet'!B59),0,'Eigen informatie GS &amp; warmtenet'!B59)</f>
        <v>0</v>
      </c>
      <c r="D5" s="30">
        <f>SUM(D6:D15)</f>
        <v>6297.2667869880688</v>
      </c>
      <c r="E5" s="17">
        <f>SUM(E6:E15)</f>
        <v>583.53003171764271</v>
      </c>
      <c r="F5" s="17">
        <f>SUM(F6:F15)</f>
        <v>1892.2257691166765</v>
      </c>
      <c r="G5" s="18"/>
      <c r="H5" s="17"/>
      <c r="I5" s="17"/>
      <c r="J5" s="17">
        <f>SUM(J6:J15)</f>
        <v>20.564493693937198</v>
      </c>
      <c r="K5" s="17"/>
      <c r="L5" s="17"/>
      <c r="M5" s="17"/>
      <c r="N5" s="17">
        <f>SUM(N6:N15)</f>
        <v>1837.9006149855882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119.62511981259901</v>
      </c>
      <c r="C8" s="33"/>
      <c r="D8" s="37">
        <f>IF( ISERROR(IND_metaal_Gas_kWH/1000),0,IND_metaal_Gas_kWH/1000)*0.902</f>
        <v>0</v>
      </c>
      <c r="E8" s="33">
        <f>C30*'E Balans VL '!I18/100/3.6*1000000</f>
        <v>1.0998374416373917</v>
      </c>
      <c r="F8" s="33">
        <f>C30*'E Balans VL '!L18/100/3.6*1000000+C30*'E Balans VL '!N18/100/3.6*1000000</f>
        <v>11.216853515033707</v>
      </c>
      <c r="G8" s="34"/>
      <c r="H8" s="33"/>
      <c r="I8" s="33"/>
      <c r="J8" s="40">
        <f>C30*'E Balans VL '!D18/100/3.6*1000000+C30*'E Balans VL '!E18/100/3.6*1000000</f>
        <v>0</v>
      </c>
      <c r="K8" s="33"/>
      <c r="L8" s="33"/>
      <c r="M8" s="33"/>
      <c r="N8" s="33">
        <f>C30*'E Balans VL '!Y18/100/3.6*1000000</f>
        <v>1.7066500229620998</v>
      </c>
      <c r="O8" s="33"/>
      <c r="P8" s="33"/>
      <c r="R8" s="32"/>
    </row>
    <row r="9" spans="1:18">
      <c r="A9" s="6" t="s">
        <v>33</v>
      </c>
      <c r="B9" s="37">
        <f t="shared" si="0"/>
        <v>880.07605094245491</v>
      </c>
      <c r="C9" s="33"/>
      <c r="D9" s="37">
        <f>IF( ISERROR(IND_andere_gas_kWh/1000),0,IND_andere_gas_kWh/1000)*0.902</f>
        <v>4576.375263757267</v>
      </c>
      <c r="E9" s="33">
        <f>C31*'E Balans VL '!I19/100/3.6*1000000</f>
        <v>257.26336275035868</v>
      </c>
      <c r="F9" s="33">
        <f>C31*'E Balans VL '!L19/100/3.6*1000000+C31*'E Balans VL '!N19/100/3.6*1000000</f>
        <v>707.20772256827968</v>
      </c>
      <c r="G9" s="34"/>
      <c r="H9" s="33"/>
      <c r="I9" s="33"/>
      <c r="J9" s="40">
        <f>C31*'E Balans VL '!D19/100/3.6*1000000+C31*'E Balans VL '!E19/100/3.6*1000000</f>
        <v>0</v>
      </c>
      <c r="K9" s="33"/>
      <c r="L9" s="33"/>
      <c r="M9" s="33"/>
      <c r="N9" s="33">
        <f>C31*'E Balans VL '!Y19/100/3.6*1000000</f>
        <v>290.7907762432215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63.452694288010498</v>
      </c>
      <c r="C13" s="33"/>
      <c r="D13" s="37">
        <f>IF( ISERROR(IND_papier_gas_kWh/1000),0,IND_papier_gas_kWh/1000)*0.902</f>
        <v>0</v>
      </c>
      <c r="E13" s="33">
        <f>C35*'E Balans VL '!I23/100/3.6*1000000</f>
        <v>9.0024861676155865E-2</v>
      </c>
      <c r="F13" s="33">
        <f>C35*'E Balans VL '!L23/100/3.6*1000000+C35*'E Balans VL '!N23/100/3.6*1000000</f>
        <v>1.5491188650842931</v>
      </c>
      <c r="G13" s="34"/>
      <c r="H13" s="33"/>
      <c r="I13" s="33"/>
      <c r="J13" s="40">
        <f>C35*'E Balans VL '!D23/100/3.6*1000000+C35*'E Balans VL '!E23/100/3.6*1000000</f>
        <v>9.8135549018370811E-3</v>
      </c>
      <c r="K13" s="33"/>
      <c r="L13" s="33"/>
      <c r="M13" s="33"/>
      <c r="N13" s="33">
        <f>C35*'E Balans VL '!Y23/100/3.6*1000000</f>
        <v>184.44196201081684</v>
      </c>
      <c r="O13" s="33"/>
      <c r="P13" s="33"/>
      <c r="R13" s="32"/>
    </row>
    <row r="14" spans="1:18">
      <c r="A14" s="6" t="s">
        <v>34</v>
      </c>
      <c r="B14" s="37">
        <f t="shared" si="0"/>
        <v>3270.5257185318897</v>
      </c>
      <c r="C14" s="33"/>
      <c r="D14" s="37">
        <f>IF( ISERROR(IND_chemie_gas_kWh/1000),0,IND_chemie_gas_kWh/1000)*0.902</f>
        <v>0</v>
      </c>
      <c r="E14" s="33">
        <f>C36*'E Balans VL '!I24/100/3.6*1000000</f>
        <v>8.0510972519017958</v>
      </c>
      <c r="F14" s="33">
        <f>C36*'E Balans VL '!L24/100/3.6*1000000+C36*'E Balans VL '!N24/100/3.6*1000000</f>
        <v>35.0206360034841</v>
      </c>
      <c r="G14" s="34"/>
      <c r="H14" s="33"/>
      <c r="I14" s="33"/>
      <c r="J14" s="40">
        <f>C36*'E Balans VL '!D24/100/3.6*1000000+C36*'E Balans VL '!E24/100/3.6*1000000</f>
        <v>0</v>
      </c>
      <c r="K14" s="33"/>
      <c r="L14" s="33"/>
      <c r="M14" s="33"/>
      <c r="N14" s="33">
        <f>C36*'E Balans VL '!Y24/100/3.6*1000000</f>
        <v>73.038912663485874</v>
      </c>
      <c r="O14" s="33"/>
      <c r="P14" s="33"/>
      <c r="R14" s="32"/>
    </row>
    <row r="15" spans="1:18">
      <c r="A15" s="6" t="s">
        <v>270</v>
      </c>
      <c r="B15" s="37">
        <f t="shared" si="0"/>
        <v>5741.5612621304799</v>
      </c>
      <c r="C15" s="33"/>
      <c r="D15" s="37">
        <f>IF( ISERROR(IND_rest_gas_kWh/1000),0,IND_rest_gas_kWh/1000)*0.902</f>
        <v>1720.8915232308016</v>
      </c>
      <c r="E15" s="33">
        <f>C37*'E Balans VL '!I15/100/3.6*1000000</f>
        <v>317.02570941206858</v>
      </c>
      <c r="F15" s="33">
        <f>C37*'E Balans VL '!L15/100/3.6*1000000+C37*'E Balans VL '!N15/100/3.6*1000000</f>
        <v>1137.2314381647948</v>
      </c>
      <c r="G15" s="34"/>
      <c r="H15" s="33"/>
      <c r="I15" s="33"/>
      <c r="J15" s="40">
        <f>C37*'E Balans VL '!D15/100/3.6*1000000+C37*'E Balans VL '!E15/100/3.6*1000000</f>
        <v>20.554680139035362</v>
      </c>
      <c r="K15" s="33"/>
      <c r="L15" s="33"/>
      <c r="M15" s="33"/>
      <c r="N15" s="33">
        <f>C37*'E Balans VL '!Y15/100/3.6*1000000</f>
        <v>1287.922314045102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10075.240845705433</v>
      </c>
      <c r="C18" s="21">
        <f>C5+C16</f>
        <v>0</v>
      </c>
      <c r="D18" s="21">
        <f>MAX((D5+D16),0)</f>
        <v>6297.2667869880688</v>
      </c>
      <c r="E18" s="21">
        <f>MAX((E5+E16),0)</f>
        <v>583.53003171764271</v>
      </c>
      <c r="F18" s="21">
        <f>MAX((F5+F16),0)</f>
        <v>1892.2257691166765</v>
      </c>
      <c r="G18" s="21"/>
      <c r="H18" s="21"/>
      <c r="I18" s="21"/>
      <c r="J18" s="21">
        <f>MAX((J5+J16),0)</f>
        <v>20.564493693937198</v>
      </c>
      <c r="K18" s="21"/>
      <c r="L18" s="21">
        <f>MAX((L5+L16),0)</f>
        <v>0</v>
      </c>
      <c r="M18" s="21"/>
      <c r="N18" s="21">
        <f>MAX((N5+N16),0)</f>
        <v>1837.9006149855882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0.21954355469368467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2211.9541896611768</v>
      </c>
      <c r="C22" s="23">
        <f ca="1">C18*C20</f>
        <v>0</v>
      </c>
      <c r="D22" s="23">
        <f>D18*D20</f>
        <v>1272.04789097159</v>
      </c>
      <c r="E22" s="23">
        <f>E18*E20</f>
        <v>132.4613171999049</v>
      </c>
      <c r="F22" s="23">
        <f>F18*F20</f>
        <v>505.22428035415265</v>
      </c>
      <c r="G22" s="23"/>
      <c r="H22" s="23"/>
      <c r="I22" s="23"/>
      <c r="J22" s="23">
        <f>J18*J20</f>
        <v>7.2798307676537677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119.62511981259901</v>
      </c>
      <c r="C30" s="39">
        <f>IF(ISERROR(B30*3.6/1000000/'E Balans VL '!Z18*100),0,B30*3.6/1000000/'E Balans VL '!Z18*100)</f>
        <v>6.7794622786493935E-3</v>
      </c>
      <c r="D30" s="237" t="s">
        <v>754</v>
      </c>
    </row>
    <row r="31" spans="1:18">
      <c r="A31" s="6" t="s">
        <v>33</v>
      </c>
      <c r="B31" s="37">
        <f>IF( ISERROR(IND_ander_ele_kWh/1000),0,IND_ander_ele_kWh/1000)</f>
        <v>880.07605094245491</v>
      </c>
      <c r="C31" s="39">
        <f>IF(ISERROR(B31*3.6/1000000/'E Balans VL '!Z19*100),0,B31*3.6/1000000/'E Balans VL '!Z19*100)</f>
        <v>3.9916585097854403E-2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63.452694288010498</v>
      </c>
      <c r="C35" s="39">
        <f>IF(ISERROR(B35*3.6/1000000/'E Balans VL '!Z22*100),0,B35*3.6/1000000/'E Balans VL '!Z22*100)</f>
        <v>1.1413160001151355E-2</v>
      </c>
      <c r="D35" s="237" t="s">
        <v>754</v>
      </c>
    </row>
    <row r="36" spans="1:5">
      <c r="A36" s="171" t="s">
        <v>34</v>
      </c>
      <c r="B36" s="37">
        <f>IF( ISERROR(IND_chemie_ele_kWh/1000),0,IND_chemie_ele_kWh/1000)</f>
        <v>3270.5257185318897</v>
      </c>
      <c r="C36" s="39">
        <f>IF(ISERROR(B36*3.6/1000000/'E Balans VL '!Z24*100),0,B36*3.6/1000000/'E Balans VL '!Z24*100)</f>
        <v>9.9731492591845605E-2</v>
      </c>
      <c r="D36" s="237" t="s">
        <v>754</v>
      </c>
    </row>
    <row r="37" spans="1:5">
      <c r="A37" s="171" t="s">
        <v>270</v>
      </c>
      <c r="B37" s="37">
        <f>IF( ISERROR(IND_rest_ele_kWh/1000),0,IND_rest_ele_kWh/1000)</f>
        <v>5741.5612621304799</v>
      </c>
      <c r="C37" s="39">
        <f>IF(ISERROR(B37*3.6/1000000/'E Balans VL '!Z15*100),0,B37*3.6/1000000/'E Balans VL '!Z15*100)</f>
        <v>4.550892431022726E-2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22.105776722146501</v>
      </c>
      <c r="C5" s="17">
        <f>'Eigen informatie GS &amp; warmtenet'!B60</f>
        <v>0</v>
      </c>
      <c r="D5" s="30">
        <f>IF(ISERROR(SUM(LB_lb_gas_kWh,LB_rest_gas_kWh,onbekend_gas_kWh)/1000),0,SUM(LB_lb_gas_kWh,LB_rest_gas_kWh,onbekend_gas_kWh)/1000)*0.902</f>
        <v>3932.7131091981414</v>
      </c>
      <c r="E5" s="17">
        <f>B17*'E Balans VL '!I25/3.6*1000000/100</f>
        <v>0.64975629669912005</v>
      </c>
      <c r="F5" s="17">
        <f>B17*('E Balans VL '!L25/3.6*1000000+'E Balans VL '!N25/3.6*1000000)/100</f>
        <v>92.091471290986519</v>
      </c>
      <c r="G5" s="18"/>
      <c r="H5" s="17"/>
      <c r="I5" s="17"/>
      <c r="J5" s="17">
        <f>('E Balans VL '!D25+'E Balans VL '!E25)/3.6*1000000*landbouw!B17/100</f>
        <v>3.2026523200497734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22.105776722146501</v>
      </c>
      <c r="C8" s="21">
        <f>C5+C6</f>
        <v>0</v>
      </c>
      <c r="D8" s="21">
        <f>MAX((D5+D6),0)</f>
        <v>3932.7131091981414</v>
      </c>
      <c r="E8" s="21">
        <f>MAX((E5+E6),0)</f>
        <v>0.64975629669912005</v>
      </c>
      <c r="F8" s="21">
        <f>MAX((F5+F6),0)</f>
        <v>92.091471290986519</v>
      </c>
      <c r="G8" s="21"/>
      <c r="H8" s="21"/>
      <c r="I8" s="21"/>
      <c r="J8" s="21">
        <f>MAX((J5+J6),0)</f>
        <v>3.2026523200497734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0.21954355469368467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4.8531808008449522</v>
      </c>
      <c r="C12" s="23">
        <f ca="1">C8*C10</f>
        <v>0</v>
      </c>
      <c r="D12" s="23">
        <f>D8*D10</f>
        <v>794.40804805802463</v>
      </c>
      <c r="E12" s="23">
        <f>E8*E10</f>
        <v>0.14749467935070026</v>
      </c>
      <c r="F12" s="23">
        <f>F8*F10</f>
        <v>24.5884228346934</v>
      </c>
      <c r="G12" s="23"/>
      <c r="H12" s="23"/>
      <c r="I12" s="23"/>
      <c r="J12" s="23">
        <f>J8*J10</f>
        <v>1.1337389212976197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3.1368790716319495E-3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0.56936109609303465</v>
      </c>
      <c r="C29" s="247">
        <f>B29*'GWP N2O_CH4'!B4</f>
        <v>176.50193978884073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1.2992624002280503E-4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6.8311131825513961E-4</v>
      </c>
      <c r="C5" s="463" t="s">
        <v>211</v>
      </c>
      <c r="D5" s="448">
        <f>SUM(D6:D11)</f>
        <v>2.2305826381043394E-3</v>
      </c>
      <c r="E5" s="448">
        <f>SUM(E6:E11)</f>
        <v>3.5954580823754018E-3</v>
      </c>
      <c r="F5" s="461" t="s">
        <v>211</v>
      </c>
      <c r="G5" s="448">
        <f>SUM(G6:G11)</f>
        <v>1.270652083004387</v>
      </c>
      <c r="H5" s="448">
        <f>SUM(H6:H11)</f>
        <v>0.26111665048200056</v>
      </c>
      <c r="I5" s="463" t="s">
        <v>211</v>
      </c>
      <c r="J5" s="463" t="s">
        <v>211</v>
      </c>
      <c r="K5" s="463" t="s">
        <v>211</v>
      </c>
      <c r="L5" s="463" t="s">
        <v>211</v>
      </c>
      <c r="M5" s="448">
        <f>SUM(M6:M11)</f>
        <v>8.1988582076988795E-2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9.2970997928831353E-5</v>
      </c>
      <c r="C6" s="449"/>
      <c r="D6" s="962">
        <f>vkm_2011_GW_PW*SUMIFS(TableVerdeelsleutelVkm[CNG],TableVerdeelsleutelVkm[Voertuigtype],"Lichte voertuigen")*SUMIFS(TableECFTransport[EnergieConsumptieFactor (PJ per km)],TableECFTransport[Index],CONCATENATE($A6,"_CNG_CNG"))</f>
        <v>2.7885963328740657E-4</v>
      </c>
      <c r="E6" s="962">
        <f>vkm_2011_GW_PW*SUMIFS(TableVerdeelsleutelVkm[LPG],TableVerdeelsleutelVkm[Voertuigtype],"Lichte voertuigen")*SUMIFS(TableECFTransport[EnergieConsumptieFactor (PJ per km)],TableECFTransport[Index],CONCATENATE($A6,"_LPG_LPG"))</f>
        <v>3.8096231528285862E-4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9.8499391148183693E-2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3.1711527061634513E-2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6.6959739747200035E-3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4.9832873082377382E-2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1.5185390621119199E-5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2.9120676328487386E-3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4.5612282637241644E-5</v>
      </c>
      <c r="C8" s="449"/>
      <c r="D8" s="451">
        <f>vkm_2011_NGW_PW*SUMIFS(TableVerdeelsleutelVkm[CNG],TableVerdeelsleutelVkm[Voertuigtype],"Lichte voertuigen")*SUMIFS(TableECFTransport[EnergieConsumptieFactor (PJ per km)],TableECFTransport[Index],CONCATENATE($A8,"_CNG_CNG"))</f>
        <v>2.4325090180472625E-4</v>
      </c>
      <c r="E8" s="451">
        <f>vkm_2011_NGW_PW*SUMIFS(TableVerdeelsleutelVkm[LPG],TableVerdeelsleutelVkm[Voertuigtype],"Lichte voertuigen")*SUMIFS(TableECFTransport[EnergieConsumptieFactor (PJ per km)],TableECFTransport[Index],CONCATENATE($A8,"_LPG_LPG"))</f>
        <v>3.0776202245509632E-4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7.4153757185925512E-2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2.6881552919984526E-2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5.1302098080101902E-3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2.273376427412668E-2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6.5217154393883032E-6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1.3284736546951841E-3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5.4452803768906656E-4</v>
      </c>
      <c r="C10" s="449"/>
      <c r="D10" s="451">
        <f>vkm_2011_SW_PW*SUMIFS(TableVerdeelsleutelVkm[CNG],TableVerdeelsleutelVkm[Voertuigtype],"Lichte voertuigen")*SUMIFS(TableECFTransport[EnergieConsumptieFactor (PJ per km)],TableECFTransport[Index],CONCATENATE($A10,"_CNG_CNG"))</f>
        <v>1.7084721030122068E-3</v>
      </c>
      <c r="E10" s="451">
        <f>vkm_2011_SW_PW*SUMIFS(TableVerdeelsleutelVkm[LPG],TableVerdeelsleutelVkm[Voertuigtype],"Lichte voertuigen")*SUMIFS(TableECFTransport[EnergieConsumptieFactor (PJ per km)],TableECFTransport[Index],CONCATENATE($A10,"_LPG_LPG"))</f>
        <v>2.9067337446374466E-3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0.67000871391856376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0.20238490381184276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4.5151826251708924E-2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0.35542358339520991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1.1695958247827026E-4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2.0770030755005758E-2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189.75314395976102</v>
      </c>
      <c r="C14" s="21"/>
      <c r="D14" s="21">
        <f t="shared" ref="D14:M14" si="0">((D5)*10^9/3600)+D12</f>
        <v>619.6062883623166</v>
      </c>
      <c r="E14" s="21">
        <f t="shared" si="0"/>
        <v>998.73835621538933</v>
      </c>
      <c r="F14" s="21"/>
      <c r="G14" s="21">
        <f t="shared" si="0"/>
        <v>352958.9119456631</v>
      </c>
      <c r="H14" s="21">
        <f t="shared" si="0"/>
        <v>72532.402911666824</v>
      </c>
      <c r="I14" s="21"/>
      <c r="J14" s="21"/>
      <c r="K14" s="21"/>
      <c r="L14" s="21"/>
      <c r="M14" s="21">
        <f t="shared" si="0"/>
        <v>22774.60613249689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0.21954355469368467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41.65907973922841</v>
      </c>
      <c r="C18" s="23"/>
      <c r="D18" s="23">
        <f t="shared" ref="D18:M18" si="1">D14*D16</f>
        <v>125.16047024918797</v>
      </c>
      <c r="E18" s="23">
        <f t="shared" si="1"/>
        <v>226.71360686089338</v>
      </c>
      <c r="F18" s="23"/>
      <c r="G18" s="23">
        <f t="shared" si="1"/>
        <v>94240.029489492052</v>
      </c>
      <c r="H18" s="23">
        <f t="shared" si="1"/>
        <v>18060.568325005039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1.4362823419818439E-2</v>
      </c>
      <c r="H50" s="321">
        <f t="shared" si="2"/>
        <v>0</v>
      </c>
      <c r="I50" s="321">
        <f t="shared" si="2"/>
        <v>0</v>
      </c>
      <c r="J50" s="321">
        <f t="shared" si="2"/>
        <v>0</v>
      </c>
      <c r="K50" s="321">
        <f t="shared" si="2"/>
        <v>0</v>
      </c>
      <c r="L50" s="321">
        <f t="shared" si="2"/>
        <v>0</v>
      </c>
      <c r="M50" s="321">
        <f t="shared" si="2"/>
        <v>8.1574496446460245E-4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1.4362823419818439E-2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8.1574496446460245E-4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3989.6731721717883</v>
      </c>
      <c r="H54" s="21">
        <f t="shared" si="3"/>
        <v>0</v>
      </c>
      <c r="I54" s="21">
        <f t="shared" si="3"/>
        <v>0</v>
      </c>
      <c r="J54" s="21">
        <f t="shared" si="3"/>
        <v>0</v>
      </c>
      <c r="K54" s="21">
        <f t="shared" si="3"/>
        <v>0</v>
      </c>
      <c r="L54" s="21">
        <f t="shared" si="3"/>
        <v>0</v>
      </c>
      <c r="M54" s="21">
        <f t="shared" si="3"/>
        <v>226.59582346238955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0.21954355469368467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1065.2427369698676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1228.8393698523575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1228.8393698523575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156621.72551770354</v>
      </c>
      <c r="D10" s="718">
        <f ca="1">tertiair!C16</f>
        <v>0</v>
      </c>
      <c r="E10" s="718">
        <f ca="1">tertiair!D16</f>
        <v>88099.216050588671</v>
      </c>
      <c r="F10" s="718">
        <f>tertiair!E16</f>
        <v>939.92224492475862</v>
      </c>
      <c r="G10" s="718">
        <f ca="1">tertiair!F16</f>
        <v>24163.944095302832</v>
      </c>
      <c r="H10" s="718">
        <f>tertiair!G16</f>
        <v>0</v>
      </c>
      <c r="I10" s="718">
        <f>tertiair!H16</f>
        <v>0</v>
      </c>
      <c r="J10" s="718">
        <f>tertiair!I16</f>
        <v>0</v>
      </c>
      <c r="K10" s="718">
        <f>tertiair!J16</f>
        <v>4.9366655139293239E-2</v>
      </c>
      <c r="L10" s="718">
        <f>tertiair!K16</f>
        <v>0</v>
      </c>
      <c r="M10" s="718">
        <f ca="1">tertiair!L16</f>
        <v>0</v>
      </c>
      <c r="N10" s="718">
        <f>tertiair!M16</f>
        <v>0</v>
      </c>
      <c r="O10" s="718">
        <f ca="1">tertiair!N16</f>
        <v>2098.482717036673</v>
      </c>
      <c r="P10" s="718">
        <f>tertiair!O16</f>
        <v>1.5633333333333335</v>
      </c>
      <c r="Q10" s="719">
        <f>tertiair!P16</f>
        <v>324.13333333333333</v>
      </c>
      <c r="R10" s="721">
        <f ca="1">SUM(C10:Q10)</f>
        <v>272249.03665887832</v>
      </c>
      <c r="S10" s="67"/>
    </row>
    <row r="11" spans="1:19" s="474" customFormat="1">
      <c r="A11" s="870" t="s">
        <v>225</v>
      </c>
      <c r="B11" s="875"/>
      <c r="C11" s="718">
        <f>huishoudens!B8</f>
        <v>19554.407876670193</v>
      </c>
      <c r="D11" s="718">
        <f>huishoudens!C8</f>
        <v>0</v>
      </c>
      <c r="E11" s="718">
        <f>huishoudens!D8</f>
        <v>67535.235476942398</v>
      </c>
      <c r="F11" s="718">
        <f>huishoudens!E8</f>
        <v>432.76783128973017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2654.7286959602825</v>
      </c>
      <c r="P11" s="718">
        <f>huishoudens!O8</f>
        <v>39.083333333333336</v>
      </c>
      <c r="Q11" s="719">
        <f>huishoudens!P8</f>
        <v>57.2</v>
      </c>
      <c r="R11" s="721">
        <f>SUM(C11:Q11)</f>
        <v>90273.423214195936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10075.240845705433</v>
      </c>
      <c r="D13" s="718">
        <f>industrie!C18</f>
        <v>0</v>
      </c>
      <c r="E13" s="718">
        <f>industrie!D18</f>
        <v>6297.2667869880688</v>
      </c>
      <c r="F13" s="718">
        <f>industrie!E18</f>
        <v>583.53003171764271</v>
      </c>
      <c r="G13" s="718">
        <f>industrie!F18</f>
        <v>1892.2257691166765</v>
      </c>
      <c r="H13" s="718">
        <f>industrie!G18</f>
        <v>0</v>
      </c>
      <c r="I13" s="718">
        <f>industrie!H18</f>
        <v>0</v>
      </c>
      <c r="J13" s="718">
        <f>industrie!I18</f>
        <v>0</v>
      </c>
      <c r="K13" s="718">
        <f>industrie!J18</f>
        <v>20.564493693937198</v>
      </c>
      <c r="L13" s="718">
        <f>industrie!K18</f>
        <v>0</v>
      </c>
      <c r="M13" s="718">
        <f>industrie!L18</f>
        <v>0</v>
      </c>
      <c r="N13" s="718">
        <f>industrie!M18</f>
        <v>0</v>
      </c>
      <c r="O13" s="718">
        <f>industrie!N18</f>
        <v>1837.9006149855882</v>
      </c>
      <c r="P13" s="718">
        <f>industrie!O18</f>
        <v>0</v>
      </c>
      <c r="Q13" s="719">
        <f>industrie!P18</f>
        <v>0</v>
      </c>
      <c r="R13" s="721">
        <f>SUM(C13:Q13)</f>
        <v>20706.728542207351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186251.37424007917</v>
      </c>
      <c r="D15" s="723">
        <f t="shared" ref="D15:Q15" ca="1" si="0">SUM(D9:D14)</f>
        <v>0</v>
      </c>
      <c r="E15" s="723">
        <f t="shared" ca="1" si="0"/>
        <v>161931.71831451915</v>
      </c>
      <c r="F15" s="723">
        <f t="shared" si="0"/>
        <v>1956.2201079321314</v>
      </c>
      <c r="G15" s="723">
        <f t="shared" ca="1" si="0"/>
        <v>26056.169864419509</v>
      </c>
      <c r="H15" s="723">
        <f t="shared" si="0"/>
        <v>0</v>
      </c>
      <c r="I15" s="723">
        <f t="shared" si="0"/>
        <v>0</v>
      </c>
      <c r="J15" s="723">
        <f t="shared" si="0"/>
        <v>0</v>
      </c>
      <c r="K15" s="723">
        <f t="shared" si="0"/>
        <v>20.613860349076493</v>
      </c>
      <c r="L15" s="723">
        <f t="shared" si="0"/>
        <v>0</v>
      </c>
      <c r="M15" s="723">
        <f t="shared" ca="1" si="0"/>
        <v>0</v>
      </c>
      <c r="N15" s="723">
        <f t="shared" si="0"/>
        <v>0</v>
      </c>
      <c r="O15" s="723">
        <f t="shared" ca="1" si="0"/>
        <v>6591.1120279825445</v>
      </c>
      <c r="P15" s="723">
        <f t="shared" si="0"/>
        <v>40.646666666666668</v>
      </c>
      <c r="Q15" s="724">
        <f t="shared" si="0"/>
        <v>381.33333333333331</v>
      </c>
      <c r="R15" s="725">
        <f ca="1">SUM(R9:R14)</f>
        <v>383229.18841528159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3989.6731721717883</v>
      </c>
      <c r="I18" s="718">
        <f>transport!H54</f>
        <v>0</v>
      </c>
      <c r="J18" s="718">
        <f>transport!I54</f>
        <v>0</v>
      </c>
      <c r="K18" s="718">
        <f>transport!J54</f>
        <v>0</v>
      </c>
      <c r="L18" s="718">
        <f>transport!K54</f>
        <v>0</v>
      </c>
      <c r="M18" s="718">
        <f>transport!L54</f>
        <v>0</v>
      </c>
      <c r="N18" s="718">
        <f>transport!M54</f>
        <v>226.59582346238955</v>
      </c>
      <c r="O18" s="718">
        <f>transport!N54</f>
        <v>0</v>
      </c>
      <c r="P18" s="718">
        <f>transport!O54</f>
        <v>0</v>
      </c>
      <c r="Q18" s="719">
        <f>transport!P54</f>
        <v>0</v>
      </c>
      <c r="R18" s="721">
        <f>SUM(C18:Q18)</f>
        <v>4216.2689956341783</v>
      </c>
      <c r="S18" s="67"/>
    </row>
    <row r="19" spans="1:19" s="474" customFormat="1" ht="15" thickBot="1">
      <c r="A19" s="870" t="s">
        <v>307</v>
      </c>
      <c r="B19" s="875"/>
      <c r="C19" s="727">
        <f>transport!B14</f>
        <v>189.75314395976102</v>
      </c>
      <c r="D19" s="727">
        <f>transport!C14</f>
        <v>0</v>
      </c>
      <c r="E19" s="727">
        <f>transport!D14</f>
        <v>619.6062883623166</v>
      </c>
      <c r="F19" s="727">
        <f>transport!E14</f>
        <v>998.73835621538933</v>
      </c>
      <c r="G19" s="727">
        <f>transport!F14</f>
        <v>0</v>
      </c>
      <c r="H19" s="727">
        <f>transport!G14</f>
        <v>352958.9119456631</v>
      </c>
      <c r="I19" s="727">
        <f>transport!H14</f>
        <v>72532.402911666824</v>
      </c>
      <c r="J19" s="727">
        <f>transport!I14</f>
        <v>0</v>
      </c>
      <c r="K19" s="727">
        <f>transport!J14</f>
        <v>0</v>
      </c>
      <c r="L19" s="727">
        <f>transport!K14</f>
        <v>0</v>
      </c>
      <c r="M19" s="727">
        <f>transport!L14</f>
        <v>0</v>
      </c>
      <c r="N19" s="727">
        <f>transport!M14</f>
        <v>22774.60613249689</v>
      </c>
      <c r="O19" s="727">
        <f>transport!N14</f>
        <v>0</v>
      </c>
      <c r="P19" s="727">
        <f>transport!O14</f>
        <v>0</v>
      </c>
      <c r="Q19" s="728">
        <f>transport!P14</f>
        <v>0</v>
      </c>
      <c r="R19" s="729">
        <f>SUM(C19:Q19)</f>
        <v>450074.01877836429</v>
      </c>
      <c r="S19" s="67"/>
    </row>
    <row r="20" spans="1:19" s="474" customFormat="1" ht="15.75" thickBot="1">
      <c r="A20" s="730" t="s">
        <v>230</v>
      </c>
      <c r="B20" s="878"/>
      <c r="C20" s="873">
        <f>SUM(C17:C19)</f>
        <v>189.75314395976102</v>
      </c>
      <c r="D20" s="731">
        <f t="shared" ref="D20:R20" si="1">SUM(D17:D19)</f>
        <v>0</v>
      </c>
      <c r="E20" s="731">
        <f t="shared" si="1"/>
        <v>619.6062883623166</v>
      </c>
      <c r="F20" s="731">
        <f t="shared" si="1"/>
        <v>998.73835621538933</v>
      </c>
      <c r="G20" s="731">
        <f t="shared" si="1"/>
        <v>0</v>
      </c>
      <c r="H20" s="731">
        <f t="shared" si="1"/>
        <v>356948.58511783491</v>
      </c>
      <c r="I20" s="731">
        <f t="shared" si="1"/>
        <v>72532.402911666824</v>
      </c>
      <c r="J20" s="731">
        <f t="shared" si="1"/>
        <v>0</v>
      </c>
      <c r="K20" s="731">
        <f t="shared" si="1"/>
        <v>0</v>
      </c>
      <c r="L20" s="731">
        <f t="shared" si="1"/>
        <v>0</v>
      </c>
      <c r="M20" s="731">
        <f t="shared" si="1"/>
        <v>0</v>
      </c>
      <c r="N20" s="731">
        <f t="shared" si="1"/>
        <v>23001.201955959281</v>
      </c>
      <c r="O20" s="731">
        <f t="shared" si="1"/>
        <v>0</v>
      </c>
      <c r="P20" s="731">
        <f t="shared" si="1"/>
        <v>0</v>
      </c>
      <c r="Q20" s="732">
        <f t="shared" si="1"/>
        <v>0</v>
      </c>
      <c r="R20" s="733">
        <f t="shared" si="1"/>
        <v>454290.28777399845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22.105776722146501</v>
      </c>
      <c r="D22" s="727">
        <f>+landbouw!C8</f>
        <v>0</v>
      </c>
      <c r="E22" s="727">
        <f>+landbouw!D8</f>
        <v>3932.7131091981414</v>
      </c>
      <c r="F22" s="727">
        <f>+landbouw!E8</f>
        <v>0.64975629669912005</v>
      </c>
      <c r="G22" s="727">
        <f>+landbouw!F8</f>
        <v>92.091471290986519</v>
      </c>
      <c r="H22" s="727">
        <f>+landbouw!G8</f>
        <v>0</v>
      </c>
      <c r="I22" s="727">
        <f>+landbouw!H8</f>
        <v>0</v>
      </c>
      <c r="J22" s="727">
        <f>+landbouw!I8</f>
        <v>0</v>
      </c>
      <c r="K22" s="727">
        <f>+landbouw!J8</f>
        <v>3.2026523200497734</v>
      </c>
      <c r="L22" s="727">
        <f>+landbouw!K8</f>
        <v>0</v>
      </c>
      <c r="M22" s="727">
        <f>+landbouw!L8</f>
        <v>0</v>
      </c>
      <c r="N22" s="727">
        <f>+landbouw!M8</f>
        <v>0</v>
      </c>
      <c r="O22" s="727">
        <f>+landbouw!N8</f>
        <v>0</v>
      </c>
      <c r="P22" s="727">
        <f>+landbouw!O8</f>
        <v>0</v>
      </c>
      <c r="Q22" s="728">
        <f>+landbouw!P8</f>
        <v>0</v>
      </c>
      <c r="R22" s="729">
        <f>SUM(C22:Q22)</f>
        <v>4050.7627658280235</v>
      </c>
      <c r="S22" s="67"/>
    </row>
    <row r="23" spans="1:19" s="474" customFormat="1" ht="17.25" thickTop="1" thickBot="1">
      <c r="A23" s="734" t="s">
        <v>116</v>
      </c>
      <c r="B23" s="864"/>
      <c r="C23" s="735">
        <f ca="1">C20+C15+C22</f>
        <v>186463.23316076107</v>
      </c>
      <c r="D23" s="735">
        <f t="shared" ref="D23:Q23" ca="1" si="2">D20+D15+D22</f>
        <v>0</v>
      </c>
      <c r="E23" s="735">
        <f t="shared" ca="1" si="2"/>
        <v>166484.03771207962</v>
      </c>
      <c r="F23" s="735">
        <f t="shared" si="2"/>
        <v>2955.60822044422</v>
      </c>
      <c r="G23" s="735">
        <f t="shared" ca="1" si="2"/>
        <v>26148.261335710496</v>
      </c>
      <c r="H23" s="735">
        <f t="shared" si="2"/>
        <v>356948.58511783491</v>
      </c>
      <c r="I23" s="735">
        <f t="shared" si="2"/>
        <v>72532.402911666824</v>
      </c>
      <c r="J23" s="735">
        <f t="shared" si="2"/>
        <v>0</v>
      </c>
      <c r="K23" s="735">
        <f t="shared" si="2"/>
        <v>23.816512669126265</v>
      </c>
      <c r="L23" s="735">
        <f t="shared" si="2"/>
        <v>0</v>
      </c>
      <c r="M23" s="735">
        <f t="shared" ca="1" si="2"/>
        <v>0</v>
      </c>
      <c r="N23" s="735">
        <f t="shared" si="2"/>
        <v>23001.201955959281</v>
      </c>
      <c r="O23" s="735">
        <f t="shared" ca="1" si="2"/>
        <v>6591.1120279825445</v>
      </c>
      <c r="P23" s="735">
        <f t="shared" si="2"/>
        <v>40.646666666666668</v>
      </c>
      <c r="Q23" s="736">
        <f t="shared" si="2"/>
        <v>381.33333333333331</v>
      </c>
      <c r="R23" s="737">
        <f ca="1">R20+R15+R22</f>
        <v>841570.2389551081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34385.290362415217</v>
      </c>
      <c r="D36" s="718">
        <f ca="1">tertiair!C20</f>
        <v>0</v>
      </c>
      <c r="E36" s="718">
        <f ca="1">tertiair!D20</f>
        <v>17796.041642218912</v>
      </c>
      <c r="F36" s="718">
        <f>tertiair!E20</f>
        <v>213.3623495979202</v>
      </c>
      <c r="G36" s="718">
        <f ca="1">tertiair!F20</f>
        <v>6451.7730734458564</v>
      </c>
      <c r="H36" s="718">
        <f>tertiair!G20</f>
        <v>0</v>
      </c>
      <c r="I36" s="718">
        <f>tertiair!H20</f>
        <v>0</v>
      </c>
      <c r="J36" s="718">
        <f>tertiair!I20</f>
        <v>0</v>
      </c>
      <c r="K36" s="718">
        <f>tertiair!J20</f>
        <v>1.7475795919309804E-2</v>
      </c>
      <c r="L36" s="718">
        <f>tertiair!K20</f>
        <v>0</v>
      </c>
      <c r="M36" s="718">
        <f ca="1">tertiair!L20</f>
        <v>0</v>
      </c>
      <c r="N36" s="718">
        <f>tertiair!M20</f>
        <v>0</v>
      </c>
      <c r="O36" s="718">
        <f ca="1">tertiair!N20</f>
        <v>0</v>
      </c>
      <c r="P36" s="718">
        <f>tertiair!O20</f>
        <v>0</v>
      </c>
      <c r="Q36" s="828">
        <f>tertiair!P20</f>
        <v>0</v>
      </c>
      <c r="R36" s="917">
        <f ca="1">SUM(C36:Q36)</f>
        <v>58846.484903473814</v>
      </c>
    </row>
    <row r="37" spans="1:18">
      <c r="A37" s="885" t="s">
        <v>225</v>
      </c>
      <c r="B37" s="892"/>
      <c r="C37" s="718">
        <f ca="1">huishoudens!B12</f>
        <v>4293.0442151743609</v>
      </c>
      <c r="D37" s="718">
        <f ca="1">huishoudens!C12</f>
        <v>0</v>
      </c>
      <c r="E37" s="718">
        <f>huishoudens!D12</f>
        <v>13642.117566342366</v>
      </c>
      <c r="F37" s="718">
        <f>huishoudens!E12</f>
        <v>98.238297702768747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18033.400079219497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2211.9541896611768</v>
      </c>
      <c r="D39" s="718">
        <f ca="1">industrie!C22</f>
        <v>0</v>
      </c>
      <c r="E39" s="718">
        <f>industrie!D22</f>
        <v>1272.04789097159</v>
      </c>
      <c r="F39" s="718">
        <f>industrie!E22</f>
        <v>132.4613171999049</v>
      </c>
      <c r="G39" s="718">
        <f>industrie!F22</f>
        <v>505.22428035415265</v>
      </c>
      <c r="H39" s="718">
        <f>industrie!G22</f>
        <v>0</v>
      </c>
      <c r="I39" s="718">
        <f>industrie!H22</f>
        <v>0</v>
      </c>
      <c r="J39" s="718">
        <f>industrie!I22</f>
        <v>0</v>
      </c>
      <c r="K39" s="718">
        <f>industrie!J22</f>
        <v>7.2798307676537677</v>
      </c>
      <c r="L39" s="718">
        <f>industrie!K22</f>
        <v>0</v>
      </c>
      <c r="M39" s="718">
        <f>industrie!L22</f>
        <v>0</v>
      </c>
      <c r="N39" s="718">
        <f>industrie!M22</f>
        <v>0</v>
      </c>
      <c r="O39" s="718">
        <f>industrie!N22</f>
        <v>0</v>
      </c>
      <c r="P39" s="718">
        <f>industrie!O22</f>
        <v>0</v>
      </c>
      <c r="Q39" s="828">
        <f>industrie!P22</f>
        <v>0</v>
      </c>
      <c r="R39" s="918">
        <f ca="1">SUM(C39:Q39)</f>
        <v>4128.967508954478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40890.288767250757</v>
      </c>
      <c r="D41" s="763">
        <f t="shared" ref="D41:R41" ca="1" si="4">SUM(D35:D40)</f>
        <v>0</v>
      </c>
      <c r="E41" s="763">
        <f t="shared" ca="1" si="4"/>
        <v>32710.207099532869</v>
      </c>
      <c r="F41" s="763">
        <f t="shared" si="4"/>
        <v>444.06196450059383</v>
      </c>
      <c r="G41" s="763">
        <f t="shared" ca="1" si="4"/>
        <v>6956.9973538000095</v>
      </c>
      <c r="H41" s="763">
        <f t="shared" si="4"/>
        <v>0</v>
      </c>
      <c r="I41" s="763">
        <f t="shared" si="4"/>
        <v>0</v>
      </c>
      <c r="J41" s="763">
        <f t="shared" si="4"/>
        <v>0</v>
      </c>
      <c r="K41" s="763">
        <f t="shared" si="4"/>
        <v>7.2973065635730778</v>
      </c>
      <c r="L41" s="763">
        <f t="shared" si="4"/>
        <v>0</v>
      </c>
      <c r="M41" s="763">
        <f t="shared" ca="1" si="4"/>
        <v>0</v>
      </c>
      <c r="N41" s="763">
        <f t="shared" si="4"/>
        <v>0</v>
      </c>
      <c r="O41" s="763">
        <f t="shared" ca="1" si="4"/>
        <v>0</v>
      </c>
      <c r="P41" s="763">
        <f t="shared" si="4"/>
        <v>0</v>
      </c>
      <c r="Q41" s="764">
        <f t="shared" si="4"/>
        <v>0</v>
      </c>
      <c r="R41" s="765">
        <f t="shared" ca="1" si="4"/>
        <v>81008.852491647791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1065.2427369698676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1065.2427369698676</v>
      </c>
    </row>
    <row r="45" spans="1:18" ht="15" thickBot="1">
      <c r="A45" s="888" t="s">
        <v>307</v>
      </c>
      <c r="B45" s="898"/>
      <c r="C45" s="727">
        <f ca="1">transport!B18</f>
        <v>41.65907973922841</v>
      </c>
      <c r="D45" s="727">
        <f>transport!C18</f>
        <v>0</v>
      </c>
      <c r="E45" s="727">
        <f>transport!D18</f>
        <v>125.16047024918797</v>
      </c>
      <c r="F45" s="727">
        <f>transport!E18</f>
        <v>226.71360686089338</v>
      </c>
      <c r="G45" s="727">
        <f>transport!F18</f>
        <v>0</v>
      </c>
      <c r="H45" s="727">
        <f>transport!G18</f>
        <v>94240.029489492052</v>
      </c>
      <c r="I45" s="727">
        <f>transport!H18</f>
        <v>18060.568325005039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112694.1309713464</v>
      </c>
    </row>
    <row r="46" spans="1:18" ht="15.75" thickBot="1">
      <c r="A46" s="886" t="s">
        <v>230</v>
      </c>
      <c r="B46" s="899"/>
      <c r="C46" s="763">
        <f t="shared" ref="C46:R46" ca="1" si="5">SUM(C43:C45)</f>
        <v>41.65907973922841</v>
      </c>
      <c r="D46" s="763">
        <f t="shared" ca="1" si="5"/>
        <v>0</v>
      </c>
      <c r="E46" s="763">
        <f t="shared" si="5"/>
        <v>125.16047024918797</v>
      </c>
      <c r="F46" s="763">
        <f t="shared" si="5"/>
        <v>226.71360686089338</v>
      </c>
      <c r="G46" s="763">
        <f t="shared" si="5"/>
        <v>0</v>
      </c>
      <c r="H46" s="763">
        <f t="shared" si="5"/>
        <v>95305.272226461922</v>
      </c>
      <c r="I46" s="763">
        <f t="shared" si="5"/>
        <v>18060.568325005039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113759.37370831627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4.8531808008449522</v>
      </c>
      <c r="D48" s="718">
        <f ca="1">+landbouw!C12</f>
        <v>0</v>
      </c>
      <c r="E48" s="718">
        <f>+landbouw!D12</f>
        <v>794.40804805802463</v>
      </c>
      <c r="F48" s="718">
        <f>+landbouw!E12</f>
        <v>0.14749467935070026</v>
      </c>
      <c r="G48" s="718">
        <f>+landbouw!F12</f>
        <v>24.5884228346934</v>
      </c>
      <c r="H48" s="718">
        <f>+landbouw!G12</f>
        <v>0</v>
      </c>
      <c r="I48" s="718">
        <f>+landbouw!H12</f>
        <v>0</v>
      </c>
      <c r="J48" s="718">
        <f>+landbouw!I12</f>
        <v>0</v>
      </c>
      <c r="K48" s="718">
        <f>+landbouw!J12</f>
        <v>1.1337389212976197</v>
      </c>
      <c r="L48" s="718">
        <f>+landbouw!K12</f>
        <v>0</v>
      </c>
      <c r="M48" s="718">
        <f>+landbouw!L12</f>
        <v>0</v>
      </c>
      <c r="N48" s="718">
        <f>+landbouw!M12</f>
        <v>0</v>
      </c>
      <c r="O48" s="718">
        <f>+landbouw!N12</f>
        <v>0</v>
      </c>
      <c r="P48" s="718">
        <f>+landbouw!O12</f>
        <v>0</v>
      </c>
      <c r="Q48" s="719">
        <f>+landbouw!P12</f>
        <v>0</v>
      </c>
      <c r="R48" s="761">
        <f ca="1">SUM(C48:Q48)</f>
        <v>825.13088529421134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40936.801027790832</v>
      </c>
      <c r="D53" s="773">
        <f t="shared" ref="D53:Q53" ca="1" si="6">D41+D46+D48</f>
        <v>0</v>
      </c>
      <c r="E53" s="773">
        <f t="shared" ca="1" si="6"/>
        <v>33629.775617840081</v>
      </c>
      <c r="F53" s="773">
        <f t="shared" si="6"/>
        <v>670.92306604083797</v>
      </c>
      <c r="G53" s="773">
        <f t="shared" ca="1" si="6"/>
        <v>6981.5857766347026</v>
      </c>
      <c r="H53" s="773">
        <f t="shared" si="6"/>
        <v>95305.272226461922</v>
      </c>
      <c r="I53" s="773">
        <f t="shared" si="6"/>
        <v>18060.568325005039</v>
      </c>
      <c r="J53" s="773">
        <f t="shared" si="6"/>
        <v>0</v>
      </c>
      <c r="K53" s="773">
        <f t="shared" si="6"/>
        <v>8.4310454848706975</v>
      </c>
      <c r="L53" s="773">
        <f t="shared" si="6"/>
        <v>0</v>
      </c>
      <c r="M53" s="773">
        <f t="shared" ca="1" si="6"/>
        <v>0</v>
      </c>
      <c r="N53" s="773">
        <f t="shared" si="6"/>
        <v>0</v>
      </c>
      <c r="O53" s="773">
        <f t="shared" ca="1" si="6"/>
        <v>0</v>
      </c>
      <c r="P53" s="773">
        <f>P41+P46+P48</f>
        <v>0</v>
      </c>
      <c r="Q53" s="774">
        <f t="shared" si="6"/>
        <v>0</v>
      </c>
      <c r="R53" s="775">
        <f ca="1">R41+R46+R48</f>
        <v>195593.35708525826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0.21954355469368472</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1228.8393698523575</v>
      </c>
      <c r="C66" s="795">
        <f>'lokale energieproductie'!B6</f>
        <v>1228.8393698523575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1228.8393698523575</v>
      </c>
      <c r="C69" s="803">
        <f>SUM(C64:C68)</f>
        <v>1228.8393698523575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19554.407876670193</v>
      </c>
      <c r="C4" s="478">
        <f>huishoudens!C8</f>
        <v>0</v>
      </c>
      <c r="D4" s="478">
        <f>huishoudens!D8</f>
        <v>67535.235476942398</v>
      </c>
      <c r="E4" s="478">
        <f>huishoudens!E8</f>
        <v>432.76783128973017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2654.7286959602825</v>
      </c>
      <c r="O4" s="478">
        <f>huishoudens!O8</f>
        <v>39.083333333333336</v>
      </c>
      <c r="P4" s="479">
        <f>huishoudens!P8</f>
        <v>57.2</v>
      </c>
      <c r="Q4" s="480">
        <f>SUM(B4:P4)</f>
        <v>90273.423214195936</v>
      </c>
    </row>
    <row r="5" spans="1:17">
      <c r="A5" s="477" t="s">
        <v>156</v>
      </c>
      <c r="B5" s="478">
        <f ca="1">tertiair!B16</f>
        <v>155163.08151770354</v>
      </c>
      <c r="C5" s="478">
        <f ca="1">tertiair!C16</f>
        <v>0</v>
      </c>
      <c r="D5" s="478">
        <f ca="1">tertiair!D16</f>
        <v>88099.216050588671</v>
      </c>
      <c r="E5" s="478">
        <f>tertiair!E16</f>
        <v>939.92224492475862</v>
      </c>
      <c r="F5" s="478">
        <f ca="1">tertiair!F16</f>
        <v>24163.944095302832</v>
      </c>
      <c r="G5" s="478">
        <f>tertiair!G16</f>
        <v>0</v>
      </c>
      <c r="H5" s="478">
        <f>tertiair!H16</f>
        <v>0</v>
      </c>
      <c r="I5" s="478">
        <f>tertiair!I16</f>
        <v>0</v>
      </c>
      <c r="J5" s="478">
        <f>tertiair!J16</f>
        <v>4.9366655139293239E-2</v>
      </c>
      <c r="K5" s="478">
        <f>tertiair!K16</f>
        <v>0</v>
      </c>
      <c r="L5" s="478">
        <f ca="1">tertiair!L16</f>
        <v>0</v>
      </c>
      <c r="M5" s="478">
        <f>tertiair!M16</f>
        <v>0</v>
      </c>
      <c r="N5" s="478">
        <f ca="1">tertiair!N16</f>
        <v>2098.482717036673</v>
      </c>
      <c r="O5" s="478">
        <f>tertiair!O16</f>
        <v>1.5633333333333335</v>
      </c>
      <c r="P5" s="479">
        <f>tertiair!P16</f>
        <v>324.13333333333333</v>
      </c>
      <c r="Q5" s="477">
        <f t="shared" ref="Q5:Q13" ca="1" si="0">SUM(B5:P5)</f>
        <v>270790.39265887829</v>
      </c>
    </row>
    <row r="6" spans="1:17">
      <c r="A6" s="477" t="s">
        <v>194</v>
      </c>
      <c r="B6" s="478">
        <f>'openbare verlichting'!B8</f>
        <v>1458.644</v>
      </c>
      <c r="C6" s="478"/>
      <c r="D6" s="478"/>
      <c r="E6" s="478"/>
      <c r="F6" s="478"/>
      <c r="G6" s="478"/>
      <c r="H6" s="478"/>
      <c r="I6" s="478"/>
      <c r="J6" s="478"/>
      <c r="K6" s="478"/>
      <c r="L6" s="478"/>
      <c r="M6" s="478"/>
      <c r="N6" s="478"/>
      <c r="O6" s="478"/>
      <c r="P6" s="479"/>
      <c r="Q6" s="477">
        <f t="shared" si="0"/>
        <v>1458.644</v>
      </c>
    </row>
    <row r="7" spans="1:17">
      <c r="A7" s="477" t="s">
        <v>112</v>
      </c>
      <c r="B7" s="478">
        <f>landbouw!B8</f>
        <v>22.105776722146501</v>
      </c>
      <c r="C7" s="478">
        <f>landbouw!C8</f>
        <v>0</v>
      </c>
      <c r="D7" s="478">
        <f>landbouw!D8</f>
        <v>3932.7131091981414</v>
      </c>
      <c r="E7" s="478">
        <f>landbouw!E8</f>
        <v>0.64975629669912005</v>
      </c>
      <c r="F7" s="478">
        <f>landbouw!F8</f>
        <v>92.091471290986519</v>
      </c>
      <c r="G7" s="478">
        <f>landbouw!G8</f>
        <v>0</v>
      </c>
      <c r="H7" s="478">
        <f>landbouw!H8</f>
        <v>0</v>
      </c>
      <c r="I7" s="478">
        <f>landbouw!I8</f>
        <v>0</v>
      </c>
      <c r="J7" s="478">
        <f>landbouw!J8</f>
        <v>3.2026523200497734</v>
      </c>
      <c r="K7" s="478">
        <f>landbouw!K8</f>
        <v>0</v>
      </c>
      <c r="L7" s="478">
        <f>landbouw!L8</f>
        <v>0</v>
      </c>
      <c r="M7" s="478">
        <f>landbouw!M8</f>
        <v>0</v>
      </c>
      <c r="N7" s="478">
        <f>landbouw!N8</f>
        <v>0</v>
      </c>
      <c r="O7" s="478">
        <f>landbouw!O8</f>
        <v>0</v>
      </c>
      <c r="P7" s="479">
        <f>landbouw!P8</f>
        <v>0</v>
      </c>
      <c r="Q7" s="477">
        <f t="shared" si="0"/>
        <v>4050.7627658280235</v>
      </c>
    </row>
    <row r="8" spans="1:17">
      <c r="A8" s="477" t="s">
        <v>635</v>
      </c>
      <c r="B8" s="478">
        <f>industrie!B18</f>
        <v>10075.240845705433</v>
      </c>
      <c r="C8" s="478">
        <f>industrie!C18</f>
        <v>0</v>
      </c>
      <c r="D8" s="478">
        <f>industrie!D18</f>
        <v>6297.2667869880688</v>
      </c>
      <c r="E8" s="478">
        <f>industrie!E18</f>
        <v>583.53003171764271</v>
      </c>
      <c r="F8" s="478">
        <f>industrie!F18</f>
        <v>1892.2257691166765</v>
      </c>
      <c r="G8" s="478">
        <f>industrie!G18</f>
        <v>0</v>
      </c>
      <c r="H8" s="478">
        <f>industrie!H18</f>
        <v>0</v>
      </c>
      <c r="I8" s="478">
        <f>industrie!I18</f>
        <v>0</v>
      </c>
      <c r="J8" s="478">
        <f>industrie!J18</f>
        <v>20.564493693937198</v>
      </c>
      <c r="K8" s="478">
        <f>industrie!K18</f>
        <v>0</v>
      </c>
      <c r="L8" s="478">
        <f>industrie!L18</f>
        <v>0</v>
      </c>
      <c r="M8" s="478">
        <f>industrie!M18</f>
        <v>0</v>
      </c>
      <c r="N8" s="478">
        <f>industrie!N18</f>
        <v>1837.9006149855882</v>
      </c>
      <c r="O8" s="478">
        <f>industrie!O18</f>
        <v>0</v>
      </c>
      <c r="P8" s="479">
        <f>industrie!P18</f>
        <v>0</v>
      </c>
      <c r="Q8" s="477">
        <f t="shared" si="0"/>
        <v>20706.728542207351</v>
      </c>
    </row>
    <row r="9" spans="1:17" s="483" customFormat="1">
      <c r="A9" s="481" t="s">
        <v>561</v>
      </c>
      <c r="B9" s="482">
        <f>transport!B14</f>
        <v>189.75314395976102</v>
      </c>
      <c r="C9" s="482"/>
      <c r="D9" s="482">
        <f>transport!D14</f>
        <v>619.6062883623166</v>
      </c>
      <c r="E9" s="482">
        <f>transport!E14</f>
        <v>998.73835621538933</v>
      </c>
      <c r="F9" s="482"/>
      <c r="G9" s="482">
        <f>transport!G14</f>
        <v>352958.9119456631</v>
      </c>
      <c r="H9" s="482">
        <f>transport!H14</f>
        <v>72532.402911666824</v>
      </c>
      <c r="I9" s="482"/>
      <c r="J9" s="482"/>
      <c r="K9" s="482"/>
      <c r="L9" s="482"/>
      <c r="M9" s="482">
        <f>transport!M14</f>
        <v>22774.60613249689</v>
      </c>
      <c r="N9" s="482"/>
      <c r="O9" s="482"/>
      <c r="P9" s="482"/>
      <c r="Q9" s="481">
        <f>SUM(B9:P9)</f>
        <v>450074.01877836429</v>
      </c>
    </row>
    <row r="10" spans="1:17">
      <c r="A10" s="477" t="s">
        <v>551</v>
      </c>
      <c r="B10" s="478">
        <f>transport!B54</f>
        <v>0</v>
      </c>
      <c r="C10" s="478"/>
      <c r="D10" s="478">
        <f>transport!D54</f>
        <v>0</v>
      </c>
      <c r="E10" s="478"/>
      <c r="F10" s="478"/>
      <c r="G10" s="478">
        <f>transport!G54</f>
        <v>3989.6731721717883</v>
      </c>
      <c r="H10" s="478"/>
      <c r="I10" s="478"/>
      <c r="J10" s="478"/>
      <c r="K10" s="478"/>
      <c r="L10" s="478"/>
      <c r="M10" s="478">
        <f>transport!M54</f>
        <v>226.59582346238955</v>
      </c>
      <c r="N10" s="478"/>
      <c r="O10" s="478"/>
      <c r="P10" s="479"/>
      <c r="Q10" s="477">
        <f t="shared" si="0"/>
        <v>4216.2689956341783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186463.23316076107</v>
      </c>
      <c r="C14" s="488">
        <f t="shared" ref="C14:Q14" ca="1" si="1">SUM(C4:C13)</f>
        <v>0</v>
      </c>
      <c r="D14" s="488">
        <f t="shared" ca="1" si="1"/>
        <v>166484.03771207962</v>
      </c>
      <c r="E14" s="488">
        <f t="shared" si="1"/>
        <v>2955.60822044422</v>
      </c>
      <c r="F14" s="488">
        <f t="shared" ca="1" si="1"/>
        <v>26148.261335710496</v>
      </c>
      <c r="G14" s="488">
        <f t="shared" si="1"/>
        <v>356948.58511783491</v>
      </c>
      <c r="H14" s="488">
        <f t="shared" si="1"/>
        <v>72532.402911666824</v>
      </c>
      <c r="I14" s="488">
        <f t="shared" si="1"/>
        <v>0</v>
      </c>
      <c r="J14" s="488">
        <f t="shared" si="1"/>
        <v>23.816512669126265</v>
      </c>
      <c r="K14" s="488">
        <f t="shared" si="1"/>
        <v>0</v>
      </c>
      <c r="L14" s="488">
        <f t="shared" ca="1" si="1"/>
        <v>0</v>
      </c>
      <c r="M14" s="488">
        <f t="shared" si="1"/>
        <v>23001.201955959281</v>
      </c>
      <c r="N14" s="488">
        <f t="shared" ca="1" si="1"/>
        <v>6591.1120279825445</v>
      </c>
      <c r="O14" s="488">
        <f t="shared" si="1"/>
        <v>40.646666666666668</v>
      </c>
      <c r="P14" s="489">
        <f t="shared" si="1"/>
        <v>381.33333333333331</v>
      </c>
      <c r="Q14" s="489">
        <f t="shared" ca="1" si="1"/>
        <v>841570.23895510798</v>
      </c>
    </row>
    <row r="16" spans="1:17">
      <c r="A16" s="491" t="s">
        <v>556</v>
      </c>
      <c r="B16" s="841">
        <f ca="1">huishoudens!B10</f>
        <v>0.21954355469368467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4293.0442151743609</v>
      </c>
      <c r="C21" s="478">
        <f t="shared" ref="C21:C28" ca="1" si="3">C4*$C$16</f>
        <v>0</v>
      </c>
      <c r="D21" s="478">
        <f t="shared" ref="D21:D30" si="4">D4*$D$16</f>
        <v>13642.117566342366</v>
      </c>
      <c r="E21" s="478">
        <f t="shared" ref="E21:E30" si="5">E4*$E$16</f>
        <v>98.238297702768747</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18033.400079219497</v>
      </c>
    </row>
    <row r="22" spans="1:17">
      <c r="A22" s="477" t="s">
        <v>156</v>
      </c>
      <c r="B22" s="478">
        <f t="shared" ca="1" si="2"/>
        <v>34065.0544736226</v>
      </c>
      <c r="C22" s="478">
        <f t="shared" ca="1" si="3"/>
        <v>0</v>
      </c>
      <c r="D22" s="478">
        <f t="shared" ca="1" si="4"/>
        <v>17796.041642218912</v>
      </c>
      <c r="E22" s="478">
        <f t="shared" si="5"/>
        <v>213.3623495979202</v>
      </c>
      <c r="F22" s="478">
        <f t="shared" ca="1" si="6"/>
        <v>6451.7730734458564</v>
      </c>
      <c r="G22" s="478">
        <f t="shared" si="7"/>
        <v>0</v>
      </c>
      <c r="H22" s="478">
        <f t="shared" si="8"/>
        <v>0</v>
      </c>
      <c r="I22" s="478">
        <f t="shared" si="9"/>
        <v>0</v>
      </c>
      <c r="J22" s="478">
        <f t="shared" si="10"/>
        <v>1.7475795919309804E-2</v>
      </c>
      <c r="K22" s="478">
        <f t="shared" si="11"/>
        <v>0</v>
      </c>
      <c r="L22" s="478">
        <f t="shared" ca="1" si="12"/>
        <v>0</v>
      </c>
      <c r="M22" s="478">
        <f t="shared" si="13"/>
        <v>0</v>
      </c>
      <c r="N22" s="478">
        <f t="shared" ca="1" si="14"/>
        <v>0</v>
      </c>
      <c r="O22" s="478">
        <f t="shared" si="15"/>
        <v>0</v>
      </c>
      <c r="P22" s="479">
        <f t="shared" si="16"/>
        <v>0</v>
      </c>
      <c r="Q22" s="477">
        <f t="shared" ref="Q22:Q30" ca="1" si="17">SUM(B22:P22)</f>
        <v>58526.249014681205</v>
      </c>
    </row>
    <row r="23" spans="1:17">
      <c r="A23" s="477" t="s">
        <v>194</v>
      </c>
      <c r="B23" s="478">
        <f t="shared" ca="1" si="2"/>
        <v>320.23588879261496</v>
      </c>
      <c r="C23" s="478"/>
      <c r="D23" s="478"/>
      <c r="E23" s="478"/>
      <c r="F23" s="478"/>
      <c r="G23" s="478"/>
      <c r="H23" s="478"/>
      <c r="I23" s="478"/>
      <c r="J23" s="478"/>
      <c r="K23" s="478"/>
      <c r="L23" s="478"/>
      <c r="M23" s="478"/>
      <c r="N23" s="478"/>
      <c r="O23" s="478"/>
      <c r="P23" s="479"/>
      <c r="Q23" s="477">
        <f t="shared" ca="1" si="17"/>
        <v>320.23588879261496</v>
      </c>
    </row>
    <row r="24" spans="1:17">
      <c r="A24" s="477" t="s">
        <v>112</v>
      </c>
      <c r="B24" s="478">
        <f t="shared" ca="1" si="2"/>
        <v>4.8531808008449522</v>
      </c>
      <c r="C24" s="478">
        <f t="shared" ca="1" si="3"/>
        <v>0</v>
      </c>
      <c r="D24" s="478">
        <f t="shared" si="4"/>
        <v>794.40804805802463</v>
      </c>
      <c r="E24" s="478">
        <f t="shared" si="5"/>
        <v>0.14749467935070026</v>
      </c>
      <c r="F24" s="478">
        <f t="shared" si="6"/>
        <v>24.5884228346934</v>
      </c>
      <c r="G24" s="478">
        <f t="shared" si="7"/>
        <v>0</v>
      </c>
      <c r="H24" s="478">
        <f t="shared" si="8"/>
        <v>0</v>
      </c>
      <c r="I24" s="478">
        <f t="shared" si="9"/>
        <v>0</v>
      </c>
      <c r="J24" s="478">
        <f t="shared" si="10"/>
        <v>1.1337389212976197</v>
      </c>
      <c r="K24" s="478">
        <f t="shared" si="11"/>
        <v>0</v>
      </c>
      <c r="L24" s="478">
        <f t="shared" si="12"/>
        <v>0</v>
      </c>
      <c r="M24" s="478">
        <f t="shared" si="13"/>
        <v>0</v>
      </c>
      <c r="N24" s="478">
        <f t="shared" si="14"/>
        <v>0</v>
      </c>
      <c r="O24" s="478">
        <f t="shared" si="15"/>
        <v>0</v>
      </c>
      <c r="P24" s="479">
        <f t="shared" si="16"/>
        <v>0</v>
      </c>
      <c r="Q24" s="477">
        <f t="shared" ca="1" si="17"/>
        <v>825.13088529421134</v>
      </c>
    </row>
    <row r="25" spans="1:17">
      <c r="A25" s="477" t="s">
        <v>635</v>
      </c>
      <c r="B25" s="478">
        <f t="shared" ca="1" si="2"/>
        <v>2211.9541896611768</v>
      </c>
      <c r="C25" s="478">
        <f t="shared" ca="1" si="3"/>
        <v>0</v>
      </c>
      <c r="D25" s="478">
        <f t="shared" si="4"/>
        <v>1272.04789097159</v>
      </c>
      <c r="E25" s="478">
        <f t="shared" si="5"/>
        <v>132.4613171999049</v>
      </c>
      <c r="F25" s="478">
        <f t="shared" si="6"/>
        <v>505.22428035415265</v>
      </c>
      <c r="G25" s="478">
        <f t="shared" si="7"/>
        <v>0</v>
      </c>
      <c r="H25" s="478">
        <f t="shared" si="8"/>
        <v>0</v>
      </c>
      <c r="I25" s="478">
        <f t="shared" si="9"/>
        <v>0</v>
      </c>
      <c r="J25" s="478">
        <f t="shared" si="10"/>
        <v>7.2798307676537677</v>
      </c>
      <c r="K25" s="478">
        <f t="shared" si="11"/>
        <v>0</v>
      </c>
      <c r="L25" s="478">
        <f t="shared" si="12"/>
        <v>0</v>
      </c>
      <c r="M25" s="478">
        <f t="shared" si="13"/>
        <v>0</v>
      </c>
      <c r="N25" s="478">
        <f t="shared" si="14"/>
        <v>0</v>
      </c>
      <c r="O25" s="478">
        <f t="shared" si="15"/>
        <v>0</v>
      </c>
      <c r="P25" s="479">
        <f t="shared" si="16"/>
        <v>0</v>
      </c>
      <c r="Q25" s="477">
        <f t="shared" ca="1" si="17"/>
        <v>4128.967508954478</v>
      </c>
    </row>
    <row r="26" spans="1:17" s="483" customFormat="1">
      <c r="A26" s="481" t="s">
        <v>561</v>
      </c>
      <c r="B26" s="835">
        <f t="shared" ca="1" si="2"/>
        <v>41.65907973922841</v>
      </c>
      <c r="C26" s="482"/>
      <c r="D26" s="482">
        <f t="shared" si="4"/>
        <v>125.16047024918797</v>
      </c>
      <c r="E26" s="482">
        <f t="shared" si="5"/>
        <v>226.71360686089338</v>
      </c>
      <c r="F26" s="482"/>
      <c r="G26" s="482">
        <f t="shared" si="7"/>
        <v>94240.029489492052</v>
      </c>
      <c r="H26" s="482">
        <f t="shared" si="8"/>
        <v>18060.568325005039</v>
      </c>
      <c r="I26" s="482"/>
      <c r="J26" s="482"/>
      <c r="K26" s="482"/>
      <c r="L26" s="482"/>
      <c r="M26" s="482">
        <f t="shared" si="13"/>
        <v>0</v>
      </c>
      <c r="N26" s="482"/>
      <c r="O26" s="482"/>
      <c r="P26" s="493"/>
      <c r="Q26" s="481">
        <f t="shared" ca="1" si="17"/>
        <v>112694.1309713464</v>
      </c>
    </row>
    <row r="27" spans="1:17">
      <c r="A27" s="477" t="s">
        <v>551</v>
      </c>
      <c r="B27" s="478">
        <f t="shared" ca="1" si="2"/>
        <v>0</v>
      </c>
      <c r="C27" s="478"/>
      <c r="D27" s="482">
        <f t="shared" si="4"/>
        <v>0</v>
      </c>
      <c r="E27" s="478"/>
      <c r="F27" s="478"/>
      <c r="G27" s="478">
        <f t="shared" si="7"/>
        <v>1065.2427369698676</v>
      </c>
      <c r="H27" s="478"/>
      <c r="I27" s="478"/>
      <c r="J27" s="478"/>
      <c r="K27" s="478"/>
      <c r="L27" s="478"/>
      <c r="M27" s="478">
        <f t="shared" si="13"/>
        <v>0</v>
      </c>
      <c r="N27" s="478"/>
      <c r="O27" s="478"/>
      <c r="P27" s="479"/>
      <c r="Q27" s="477">
        <f t="shared" ca="1" si="17"/>
        <v>1065.2427369698676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40936.801027790832</v>
      </c>
      <c r="C31" s="488">
        <f t="shared" ca="1" si="18"/>
        <v>0</v>
      </c>
      <c r="D31" s="488">
        <f t="shared" ca="1" si="18"/>
        <v>33629.775617840081</v>
      </c>
      <c r="E31" s="488">
        <f t="shared" si="18"/>
        <v>670.92306604083797</v>
      </c>
      <c r="F31" s="488">
        <f t="shared" ca="1" si="18"/>
        <v>6981.5857766347026</v>
      </c>
      <c r="G31" s="488">
        <f t="shared" si="18"/>
        <v>95305.272226461922</v>
      </c>
      <c r="H31" s="488">
        <f t="shared" si="18"/>
        <v>18060.568325005039</v>
      </c>
      <c r="I31" s="488">
        <f t="shared" si="18"/>
        <v>0</v>
      </c>
      <c r="J31" s="488">
        <f t="shared" si="18"/>
        <v>8.4310454848706975</v>
      </c>
      <c r="K31" s="488">
        <f t="shared" si="18"/>
        <v>0</v>
      </c>
      <c r="L31" s="488">
        <f t="shared" ca="1" si="18"/>
        <v>0</v>
      </c>
      <c r="M31" s="488">
        <f t="shared" si="18"/>
        <v>0</v>
      </c>
      <c r="N31" s="488">
        <f t="shared" ca="1" si="18"/>
        <v>0</v>
      </c>
      <c r="O31" s="488">
        <f t="shared" si="18"/>
        <v>0</v>
      </c>
      <c r="P31" s="489">
        <f t="shared" si="18"/>
        <v>0</v>
      </c>
      <c r="Q31" s="489">
        <f t="shared" ca="1" si="18"/>
        <v>195593.35708525826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0.21954355469368467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0.21954355469368467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0.21954355469368467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2019-01-01T21:18:11Z</dcterms:modified>
</cp:coreProperties>
</file>