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<sst xmlns="http://schemas.openxmlformats.org/spreadsheetml/2006/main" count="2099" uniqueCount="844">
  <si>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</si>
  <si>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</si>
  <si>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</si>
  <si>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</si>
  <si>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</si>
  <si>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</si>
  <si>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</si>
  <si>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</si>
  <si>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</si>
  <si>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</si>
  <si>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</si>
  <si>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</si>
  <si>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</si>
  <si>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</si>
  <si>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</si>
  <si>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</si>
  <si>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</si>
  <si>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</si>
  <si>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</si>
  <si>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</si>
  <si>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</si>
  <si>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</si>
  <si>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</si>
  <si>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</si>
  <si>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</si>
  <si>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</si>
  <si>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</si>
  <si>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</si>
  <si>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</si>
  <si>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</si>
  <si>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</si>
  <si>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</si>
  <si>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</si>
  <si>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</si>
  <si>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</si>
  <si>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</si>
  <si>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</si>
  <si>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</si>
  <si>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</si>
  <si>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</si>
  <si>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</si>
  <si>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</si>
  <si>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</si>
  <si>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</si>
  <si>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</si>
  <si>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</si>
  <si>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</si>
  <si>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</si>
  <si>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</si>
  <si>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</si>
  <si>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</si>
  <si>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</si>
  <si>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</si>
  <si>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</si>
  <si>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</si>
  <si>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</si>
  <si>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</si>
  <si>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</si>
  <si>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</si>
  <si>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</si>
  <si>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</si>
  <si>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</si>
  <si>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</si>
  <si>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</si>
  <si>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</si>
  <si>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</si>
  <si>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</si>
  <si>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</si>
  <si>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</si>
  <si>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</si>
  <si>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</si>
  <si>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</si>
  <si>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</si>
  <si>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</si>
  <si>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</si>
  <si>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</si>
  <si>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</si>
  <si>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</si>
  <si>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</si>
  <si>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</si>
  <si>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</si>
  <si>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</si>
  <si>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</si>
  <si>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</si>
  <si>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</si>
  <si>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</si>
  <si>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</si>
  <si>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</si>
  <si>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</si>
  <si>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</si>
  <si>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</si>
  <si>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</si>
  <si>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</si>
  <si>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</si>
  <si>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</si>
  <si>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</si>
  <si>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</si>
  <si>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</si>
  <si>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</si>
  <si>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</si>
  <si>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</si>
  <si>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</si>
  <si>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</si>
  <si>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</si>
  <si>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</si>
  <si>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</si>
  <si>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</si>
  <si>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</si>
  <si>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</si>
  <si>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</si>
  <si>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</si>
  <si>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</si>
  <si>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</si>
  <si>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</si>
  <si>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</si>
  <si>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</si>
  <si>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</si>
  <si>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</si>
  <si>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</si>
  <si>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</si>
  <si>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</si>
  <si>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</si>
  <si>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</si>
  <si>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</si>
  <si>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</si>
  <si>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</si>
  <si>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</si>
  <si>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</si>
  <si>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</si>
  <si>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</si>
  <si>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</si>
  <si>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</si>
  <si>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</si>
  <si>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</si>
  <si>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</si>
  <si>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</si>
  <si>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</si>
  <si>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</si>
  <si>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</si>
  <si>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</si>
  <si>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</si>
  <si>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</si>
  <si>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</si>
  <si>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</si>
  <si>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</si>
  <si>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</si>
  <si>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</si>
  <si>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</si>
  <si>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</si>
  <si>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</si>
  <si>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</si>
  <si>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</si>
  <si>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</si>
  <si>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</si>
  <si>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</si>
  <si>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</si>
  <si>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</si>
  <si>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</si>
  <si>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</si>
  <si>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</si>
  <si>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</si>
  <si>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</si>
  <si>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</si>
  <si>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</si>
  <si>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</si>
  <si>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</si>
  <si>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</si>
  <si>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</si>
  <si>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</si>
  <si>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</si>
  <si>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</si>
  <si>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</si>
  <si>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</si>
  <si>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</si>
  <si>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</si>
  <si>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</si>
  <si>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</si>
  <si>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</si>
  <si>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</si>
  <si>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</si>
  <si>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</si>
  <si>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</si>
  <si>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</si>
  <si>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</si>
  <si>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</si>
  <si>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</si>
  <si>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</si>
  <si>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</si>
  <si>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</si>
  <si>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</si>
  <si>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</si>
  <si>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</si>
  <si>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</si>
  <si>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</si>
  <si>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</si>
  <si>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</si>
  <si>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</si>
  <si>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</si>
  <si>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</si>
  <si>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</si>
  <si>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</si>
  <si>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</si>
  <si>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</si>
  <si>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</si>
  <si>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</si>
  <si>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</si>
  <si>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</si>
  <si>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</si>
  <si>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</si>
  <si>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</si>
  <si>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</si>
  <si>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</si>
  <si>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</si>
  <si>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</si>
  <si>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</si>
  <si>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</si>
  <si>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</si>
  <si>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</si>
  <si>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</si>
  <si>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</si>
  <si>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</si>
  <si>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</si>
  <si>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</si>
  <si>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</si>
  <si>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</si>
  <si>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</si>
  <si>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</si>
  <si>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</si>
  <si>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</si>
  <si>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</si>
  <si>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</si>
  <si>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</si>
  <si>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</si>
  <si>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</si>
  <si>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</si>
  <si>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</si>
  <si>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</si>
  <si>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</si>
  <si>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</si>
  <si>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</si>
  <si>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</si>
  <si>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</si>
  <si>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</si>
  <si>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</si>
  <si>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</si>
  <si>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</si>
  <si>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</si>
  <si>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</si>
  <si>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</si>
  <si>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</si>
  <si>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</si>
  <si>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</si>
  <si>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</si>
  <si>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</si>
  <si>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</si>
  <si>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</si>
  <si>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</si>
  <si>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</si>
  <si>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</si>
  <si>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</si>
  <si>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</si>
  <si>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</si>
  <si>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</si>
  <si>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</si>
  <si>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</si>
  <si>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</si>
  <si>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</si>
  <si>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</si>
  <si>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</si>
  <si>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</si>
  <si>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</si>
  <si>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</si>
  <si>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</si>
  <si>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</si>
  <si>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</si>
  <si>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</si>
  <si>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</si>
  <si>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</si>
  <si>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</si>
  <si>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</si>
  <si>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</si>
  <si>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</si>
  <si>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</si>
  <si>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</si>
  <si>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</si>
  <si>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</si>
  <si>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</si>
  <si>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</si>
  <si>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</si>
  <si>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</si>
  <si>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</si>
  <si>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</si>
  <si>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</si>
  <si>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</si>
  <si>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</si>
  <si>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</si>
  <si>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</si>
  <si>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</si>
  <si>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</si>
  <si>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</si>
  <si>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</si>
  <si>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</si>
  <si>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</si>
  <si>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</si>
  <si>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</si>
  <si>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</si>
  <si>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</si>
  <si>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</si>
  <si>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</si>
  <si>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</si>
  <si>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</si>
  <si>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</si>
  <si>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</si>
  <si>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</si>
  <si>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</si>
  <si>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</si>
  <si>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</si>
  <si>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</si>
  <si>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</si>
  <si>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</si>
  <si>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</si>
  <si>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</si>
  <si>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</si>
  <si>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</si>
  <si>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</si>
  <si>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</si>
  <si>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</si>
  <si>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</si>
  <si>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</si>
  <si>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</si>
  <si>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</si>
  <si>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</si>
  <si>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</si>
  <si>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</si>
  <si>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</si>
  <si>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</si>
  <si>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</si>
  <si>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</si>
  <si>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</si>
  <si>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</si>
  <si>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</si>
  <si>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</si>
  <si>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</si>
  <si>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</si>
  <si>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</si>
  <si>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</si>
  <si>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</si>
  <si>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</si>
  <si>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</si>
  <si>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</si>
  <si>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</si>
  <si>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</si>
  <si>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</si>
  <si>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</si>
  <si>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</si>
  <si>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</si>
  <si>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</si>
  <si>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</si>
  <si>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</si>
  <si>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</si>
  <si>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</si>
  <si>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</si>
  <si>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</si>
  <si>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</si>
  <si>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</si>
  <si>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</si>
  <si>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</si>
  <si>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</si>
  <si>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</si>
  <si>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</si>
  <si>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</si>
  <si>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</si>
  <si>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</si>
  <si>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</si>
  <si>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</si>
  <si>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</si>
  <si>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</si>
  <si>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</si>
  <si>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</si>
  <si>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</si>
  <si>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</si>
  <si>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</si>
  <si>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</si>
  <si>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</si>
  <si>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</si>
  <si>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</si>
  <si>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</si>
  <si>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</si>
  <si>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</si>
  <si>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</si>
  <si>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</si>
  <si>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</si>
  <si>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</si>
  <si>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</si>
  <si>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</si>
  <si>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</si>
  <si>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</si>
  <si>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</si>
  <si>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</si>
  <si>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</si>
  <si>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</si>
  <si>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</si>
  <si>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</si>
  <si>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</si>
  <si>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</si>
  <si>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</si>
  <si>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</si>
  <si>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</si>
  <si>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</si>
  <si>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</si>
  <si>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</si>
  <si>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</si>
  <si>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</si>
  <si>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</si>
  <si>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</si>
  <si>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</si>
  <si>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</si>
  <si>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</si>
  <si>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</si>
  <si>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</si>
  <si>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</si>
  <si>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</si>
  <si>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</si>
  <si>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</si>
  <si>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</si>
  <si>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</si>
  <si>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</si>
  <si>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</si>
  <si>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</si>
  <si>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</si>
  <si>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</si>
  <si>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</si>
  <si>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</si>
  <si>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</si>
  <si>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</si>
  <si>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</si>
  <si>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</si>
  <si>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</si>
  <si>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</si>
  <si>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</si>
  <si>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</si>
  <si>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</si>
  <si>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</si>
  <si>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</si>
  <si>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</si>
  <si>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</si>
  <si>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</si>
  <si>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</si>
  <si>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</si>
  <si>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</si>
  <si>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</si>
  <si>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</si>
  <si>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</si>
  <si>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</si>
  <si>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</si>
  <si>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</si>
  <si>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</si>
  <si>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</si>
  <si>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</si>
  <si>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</si>
  <si>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</si>
  <si>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</si>
  <si>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</si>
  <si>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</si>
  <si>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</si>
  <si>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</si>
  <si>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</si>
  <si>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</si>
  <si>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</si>
  <si>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</si>
  <si>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</si>
  <si>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</si>
  <si>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</si>
  <si>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</si>
  <si>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</si>
  <si>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</si>
  <si>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</si>
  <si>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</si>
  <si>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</si>
  <si>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</si>
  <si>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</si>
  <si>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</si>
  <si>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</si>
  <si>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</si>
  <si>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</si>
  <si>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</si>
  <si>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</si>
  <si>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</si>
  <si>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</si>
  <si>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</si>
  <si>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</si>
  <si>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</si>
  <si>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</si>
  <si>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</si>
  <si>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</si>
  <si>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</si>
  <si>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</si>
  <si>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</si>
  <si>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</si>
  <si>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</si>
  <si>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</si>
  <si>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</si>
  <si>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</si>
  <si>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</si>
  <si>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</si>
  <si>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</si>
  <si>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</si>
  <si>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</si>
  <si>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</si>
  <si>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</si>
  <si>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</si>
  <si>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</si>
  <si>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</si>
  <si>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</si>
  <si>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</si>
  <si>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</si>
  <si>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</si>
  <si>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</si>
  <si>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</si>
  <si>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</si>
  <si>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</si>
  <si>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</si>
  <si>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</si>
  <si>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</si>
  <si>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</si>
  <si>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</si>
  <si>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</si>
  <si>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</si>
  <si>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</si>
  <si>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</si>
  <si>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</si>
  <si>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</si>
  <si>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</si>
  <si>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</si>
  <si>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</si>
  <si>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</si>
  <si>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</si>
  <si>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</si>
  <si>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</si>
  <si>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</si>
  <si>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</si>
  <si>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</si>
  <si>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</si>
  <si>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</si>
  <si>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</si>
  <si>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</si>
  <si>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</si>
  <si>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</si>
  <si>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</si>
  <si>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</si>
  <si>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</si>
  <si>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</si>
  <si>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</si>
  <si>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</si>
  <si>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</si>
  <si>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</si>
  <si>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</si>
  <si>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</si>
  <si>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</si>
  <si>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</si>
  <si>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</si>
  <si>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</si>
  <si>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</si>
  <si>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</si>
  <si>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</si>
  <si>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</si>
  <si>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</si>
  <si>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</si>
  <si>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</si>
  <si>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</si>
  <si>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</si>
  <si>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</si>
  <si>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</si>
  <si>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</si>
  <si>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</si>
  <si>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</si>
  <si>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</si>
  <si>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</si>
  <si>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</si>
  <si>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</si>
  <si>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</si>
  <si>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</si>
  <si>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</si>
  <si>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</si>
  <si>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</si>
  <si>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</si>
  <si>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</si>
  <si>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</si>
  <si>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</si>
  <si>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</si>
  <si>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</si>
  <si>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</si>
  <si>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</si>
  <si>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</si>
  <si>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</si>
  <si>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</si>
  <si>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</si>
  <si>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</si>
  <si>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</si>
  <si>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</si>
  <si>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</si>
  <si>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</si>
  <si>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</si>
  <si>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</si>
  <si>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</si>
  <si>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</si>
  <si>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</si>
  <si>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</si>
  <si>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</si>
  <si>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</si>
  <si>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</si>
  <si>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</si>
  <si>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</si>
  <si>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</si>
  <si>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</si>
  <si>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</si>
  <si>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</si>
  <si>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</si>
  <si>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</si>
  <si>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</si>
  <si>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</si>
  <si>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</si>
  <si>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</si>
  <si>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</si>
  <si>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</si>
  <si>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</si>
  <si>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</si>
  <si>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</si>
  <si>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</si>
  <si>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</si>
  <si>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</si>
  <si>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</si>
  <si>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</si>
  <si>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</si>
  <si>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</si>
  <si>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</si>
  <si>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</si>
  <si>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</si>
  <si>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</si>
  <si>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</si>
  <si>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</si>
  <si>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</si>
  <si>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</si>
  <si>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</si>
  <si>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</si>
  <si>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</si>
  <si>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</si>
  <si>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</si>
  <si>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</si>
  <si>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</si>
  <si>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</si>
  <si>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</si>
  <si>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</si>
  <si>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</si>
  <si>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</si>
  <si>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</si>
  <si>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</si>
  <si>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</si>
  <si>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</si>
  <si>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</si>
  <si>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</si>
  <si>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</si>
  <si>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</si>
  <si>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</si>
  <si>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</si>
  <si>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</si>
  <si>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</si>
  <si>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</si>
  <si>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</si>
  <si>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</si>
  <si>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</si>
  <si>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</si>
  <si>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</si>
  <si>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</si>
  <si>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</si>
  <si>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</si>
  <si>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</si>
  <si>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</si>
  <si>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</si>
  <si>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</si>
  <si>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</si>
  <si>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</si>
  <si>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</si>
  <si>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</si>
  <si>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</si>
  <si>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</si>
  <si>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</si>
  <si>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</si>
  <si>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</si>
  <si>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</si>
  <si>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</si>
  <si>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</si>
  <si>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</si>
  <si>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</si>
  <si>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</si>
  <si>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</si>
  <si>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</si>
  <si>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</si>
  <si>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</si>
  <si>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</si>
  <si>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</si>
  <si>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</si>
  <si>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</si>
  <si>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</si>
  <si>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</si>
  <si>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</si>
  <si>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</si>
  <si>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</si>
  <si>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</si>
  <si>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</si>
  <si>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</si>
  <si>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</si>
  <si>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</si>
  <si>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</si>
  <si>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</si>
  <si>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</si>
  <si>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</si>
  <si>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</si>
  <si>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</si>
  <si>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</si>
  <si>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</si>
  <si>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</si>
  <si>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</si>
  <si>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</si>
  <si>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</si>
  <si>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</si>
  <si>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</si>
  <si>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</si>
  <si>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</si>
  <si>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</si>
  <si>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</si>
  <si>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</si>
  <si>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</si>
  <si>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</si>
  <si>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</si>
  <si>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</si>
  <si>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</si>
  <si>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</si>
  <si>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</si>
  <si>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</si>
  <si>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</si>
  <si>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</si>
  <si>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</si>
  <si>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</si>
  <si>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</si>
  <si>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</si>
  <si>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</si>
  <si>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</si>
  <si>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</si>
  <si>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</si>
  <si>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</si>
  <si>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</si>
  <si>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</si>
  <si>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</si>
  <si>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</si>
  <si>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</si>
  <si>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</si>
  <si>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</si>
  <si>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</si>
  <si>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</si>
  <si>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</si>
  <si>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</si>
  <si>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</si>
  <si>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</si>
  <si>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</si>
  <si>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</si>
  <si>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</si>
  <si>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</si>
  <si>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</si>
  <si>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</si>
  <si>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</si>
  <si>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</si>
  <si>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</si>
  <si>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</si>
  <si>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</si>
  <si>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</si>
  <si>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</si>
  <si>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</si>
  <si>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</si>
  <si>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</si>
  <si>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</si>
  <si>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</si>
  <si>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</si>
  <si>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</si>
  <si>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</si>
  <si>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</si>
  <si>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</si>
  <si>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</si>
  <si>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</si>
  <si>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</si>
  <si>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</si>
  <si>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</si>
  <si>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</si>
  <si>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</si>
  <si>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</si>
  <si>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</si>
  <si>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</si>
  <si>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</si>
  <si>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</si>
  <si>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</si>
  <si>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</si>
  <si>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</si>
  <si>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</si>
  <si>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</si>
  <si>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</si>
  <si>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</si>
  <si>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</si>
  <si>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</si>
  <si>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</si>
  <si>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</si>
  <si>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</si>
  <si>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</si>
  <si>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</si>
  <si>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</si>
  <si>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</si>
  <si>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</si>
  <si>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</si>
  <si>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</si>
  <si>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</si>
  <si>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</si>
  <si>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</si>
  <si>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</si>
  <si>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</si>
  <si>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</si>
  <si>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</si>
  <si>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</si>
  <si>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</si>
  <si>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</si>
  <si>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</si>
  <si>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</si>
  <si>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</si>
  <si>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</si>
  <si>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</si>
  <si>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</si>
  <si>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</si>
  <si>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</si>
  <si>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23003</t>
  </si>
  <si>
    <t>BEERSEL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</si>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</sst>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205640.59137653606</c:v>
                </c:pt>
                <c:pt idx="1">
                  <c:v>85427.123454745873</c:v>
                </c:pt>
                <c:pt idx="2">
                  <c:v>2068.7730000000001</c:v>
                </c:pt>
                <c:pt idx="3">
                  <c:v>4064.1378765693062</c:v>
                </c:pt>
                <c:pt idx="4">
                  <c:v>59647.603847385704</c:v>
                </c:pt>
                <c:pt idx="5">
                  <c:v>272198.36835529265</c:v>
                </c:pt>
                <c:pt idx="6">
                  <c:v>2824.8099649720302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205640.59137653606</c:v>
                </c:pt>
                <c:pt idx="1">
                  <c:v>85427.123454745873</c:v>
                </c:pt>
                <c:pt idx="2">
                  <c:v>2068.7730000000001</c:v>
                </c:pt>
                <c:pt idx="3">
                  <c:v>4064.1378765693062</c:v>
                </c:pt>
                <c:pt idx="4">
                  <c:v>59647.603847385704</c:v>
                </c:pt>
                <c:pt idx="5">
                  <c:v>272198.36835529265</c:v>
                </c:pt>
                <c:pt idx="6">
                  <c:v>2824.8099649720302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40536.482531192596</c:v>
                </c:pt>
                <c:pt idx="1">
                  <c:v>16793.494573209147</c:v>
                </c:pt>
                <c:pt idx="2">
                  <c:v>404.48756867970496</c:v>
                </c:pt>
                <c:pt idx="3">
                  <c:v>876.93221440917409</c:v>
                </c:pt>
                <c:pt idx="4">
                  <c:v>10417.153209180557</c:v>
                </c:pt>
                <c:pt idx="5">
                  <c:v>68060.534580503954</c:v>
                </c:pt>
                <c:pt idx="6">
                  <c:v>713.68982899867251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40536.482531192596</c:v>
                </c:pt>
                <c:pt idx="1">
                  <c:v>16793.494573209147</c:v>
                </c:pt>
                <c:pt idx="2">
                  <c:v>404.48756867970496</c:v>
                </c:pt>
                <c:pt idx="3">
                  <c:v>876.93221440917409</c:v>
                </c:pt>
                <c:pt idx="4">
                  <c:v>10417.153209180557</c:v>
                </c:pt>
                <c:pt idx="5">
                  <c:v>68060.534580503954</c:v>
                </c:pt>
                <c:pt idx="6">
                  <c:v>713.68982899867251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23003</v>
      </c>
      <c r="B6" s="415"/>
      <c r="C6" s="416"/>
    </row>
    <row r="7" spans="1:7" s="413" customFormat="1" ht="15.75" customHeight="1">
      <c r="A7" s="417" t="str">
        <f>txtMunicipality</f>
        <v>BEERSEL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9511</v>
      </c>
      <c r="C9" s="342">
        <v>9794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863.72</v>
      </c>
    </row>
    <row r="15" spans="1:6">
      <c r="A15" s="348" t="s">
        <v>184</v>
      </c>
      <c r="B15" s="334">
        <v>4</v>
      </c>
    </row>
    <row r="16" spans="1:6">
      <c r="A16" s="348" t="s">
        <v>6</v>
      </c>
      <c r="B16" s="334">
        <v>93</v>
      </c>
    </row>
    <row r="17" spans="1:6">
      <c r="A17" s="348" t="s">
        <v>7</v>
      </c>
      <c r="B17" s="334">
        <v>319</v>
      </c>
    </row>
    <row r="18" spans="1:6">
      <c r="A18" s="348" t="s">
        <v>8</v>
      </c>
      <c r="B18" s="334">
        <v>289</v>
      </c>
    </row>
    <row r="19" spans="1:6">
      <c r="A19" s="348" t="s">
        <v>9</v>
      </c>
      <c r="B19" s="334">
        <v>258</v>
      </c>
    </row>
    <row r="20" spans="1:6">
      <c r="A20" s="348" t="s">
        <v>10</v>
      </c>
      <c r="B20" s="334">
        <v>243</v>
      </c>
    </row>
    <row r="21" spans="1:6">
      <c r="A21" s="348" t="s">
        <v>11</v>
      </c>
      <c r="B21" s="334">
        <v>117</v>
      </c>
    </row>
    <row r="22" spans="1:6">
      <c r="A22" s="348" t="s">
        <v>12</v>
      </c>
      <c r="B22" s="334">
        <v>369</v>
      </c>
    </row>
    <row r="23" spans="1:6">
      <c r="A23" s="348" t="s">
        <v>13</v>
      </c>
      <c r="B23" s="334">
        <v>4</v>
      </c>
    </row>
    <row r="24" spans="1:6">
      <c r="A24" s="348" t="s">
        <v>14</v>
      </c>
      <c r="B24" s="334">
        <v>0</v>
      </c>
    </row>
    <row r="25" spans="1:6">
      <c r="A25" s="348" t="s">
        <v>15</v>
      </c>
      <c r="B25" s="334">
        <v>71</v>
      </c>
    </row>
    <row r="26" spans="1:6">
      <c r="A26" s="348" t="s">
        <v>16</v>
      </c>
      <c r="B26" s="334">
        <v>35</v>
      </c>
    </row>
    <row r="27" spans="1:6">
      <c r="A27" s="348" t="s">
        <v>17</v>
      </c>
      <c r="B27" s="334">
        <v>7</v>
      </c>
    </row>
    <row r="28" spans="1:6" s="356" customFormat="1">
      <c r="A28" s="355" t="s">
        <v>18</v>
      </c>
      <c r="B28" s="355">
        <v>26</v>
      </c>
    </row>
    <row r="29" spans="1:6">
      <c r="A29" s="355" t="s">
        <v>744</v>
      </c>
      <c r="B29" s="355">
        <v>44</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28976</v>
      </c>
    </row>
    <row r="39" spans="1:6">
      <c r="A39" s="348" t="s">
        <v>30</v>
      </c>
      <c r="B39" s="348" t="s">
        <v>31</v>
      </c>
      <c r="C39" s="334">
        <v>6619</v>
      </c>
      <c r="D39" s="334">
        <v>134271368.04745701</v>
      </c>
      <c r="E39" s="334">
        <v>9470</v>
      </c>
      <c r="F39" s="334">
        <v>39523415.9636802</v>
      </c>
    </row>
    <row r="40" spans="1:6">
      <c r="A40" s="348" t="s">
        <v>30</v>
      </c>
      <c r="B40" s="348" t="s">
        <v>29</v>
      </c>
      <c r="C40" s="334">
        <v>0</v>
      </c>
      <c r="D40" s="334">
        <v>0</v>
      </c>
      <c r="E40" s="334">
        <v>0</v>
      </c>
      <c r="F40" s="334">
        <v>0</v>
      </c>
    </row>
    <row r="41" spans="1:6">
      <c r="A41" s="348" t="s">
        <v>32</v>
      </c>
      <c r="B41" s="348" t="s">
        <v>33</v>
      </c>
      <c r="C41" s="334">
        <v>17</v>
      </c>
      <c r="D41" s="334">
        <v>598109.17504389805</v>
      </c>
      <c r="E41" s="334">
        <v>88</v>
      </c>
      <c r="F41" s="334">
        <v>1195092.6302517301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1728143.6977542299</v>
      </c>
    </row>
    <row r="48" spans="1:6">
      <c r="A48" s="348" t="s">
        <v>32</v>
      </c>
      <c r="B48" s="348" t="s">
        <v>29</v>
      </c>
      <c r="C48" s="334">
        <v>79</v>
      </c>
      <c r="D48" s="334">
        <v>28367498.48429</v>
      </c>
      <c r="E48" s="334">
        <v>112</v>
      </c>
      <c r="F48" s="334">
        <v>15954716.429542299</v>
      </c>
    </row>
    <row r="49" spans="1:6">
      <c r="A49" s="348" t="s">
        <v>32</v>
      </c>
      <c r="B49" s="348" t="s">
        <v>40</v>
      </c>
      <c r="C49" s="334">
        <v>0</v>
      </c>
      <c r="D49" s="334">
        <v>0</v>
      </c>
      <c r="E49" s="334">
        <v>0</v>
      </c>
      <c r="F49" s="334">
        <v>0</v>
      </c>
    </row>
    <row r="50" spans="1:6">
      <c r="A50" s="348" t="s">
        <v>32</v>
      </c>
      <c r="B50" s="348" t="s">
        <v>41</v>
      </c>
      <c r="C50" s="334">
        <v>3</v>
      </c>
      <c r="D50" s="334">
        <v>54818.4757774682</v>
      </c>
      <c r="E50" s="334">
        <v>3</v>
      </c>
      <c r="F50" s="334">
        <v>126307.304936031</v>
      </c>
    </row>
    <row r="51" spans="1:6">
      <c r="A51" s="348" t="s">
        <v>42</v>
      </c>
      <c r="B51" s="348" t="s">
        <v>43</v>
      </c>
      <c r="C51" s="334">
        <v>3</v>
      </c>
      <c r="D51" s="334">
        <v>35162.438404705499</v>
      </c>
      <c r="E51" s="334">
        <v>22</v>
      </c>
      <c r="F51" s="334">
        <v>172855.75468462601</v>
      </c>
    </row>
    <row r="52" spans="1:6">
      <c r="A52" s="348" t="s">
        <v>42</v>
      </c>
      <c r="B52" s="348" t="s">
        <v>29</v>
      </c>
      <c r="C52" s="334">
        <v>8</v>
      </c>
      <c r="D52" s="334">
        <v>100805.112550366</v>
      </c>
      <c r="E52" s="334">
        <v>7</v>
      </c>
      <c r="F52" s="334">
        <v>22140.784861857901</v>
      </c>
    </row>
    <row r="53" spans="1:6">
      <c r="A53" s="348" t="s">
        <v>44</v>
      </c>
      <c r="B53" s="348" t="s">
        <v>45</v>
      </c>
      <c r="C53" s="334">
        <v>159</v>
      </c>
      <c r="D53" s="334">
        <v>3215267.4107577801</v>
      </c>
      <c r="E53" s="334">
        <v>283</v>
      </c>
      <c r="F53" s="334">
        <v>1361896.4396523</v>
      </c>
    </row>
    <row r="54" spans="1:6">
      <c r="A54" s="348" t="s">
        <v>46</v>
      </c>
      <c r="B54" s="348" t="s">
        <v>47</v>
      </c>
      <c r="C54" s="334">
        <v>0</v>
      </c>
      <c r="D54" s="334">
        <v>0</v>
      </c>
      <c r="E54" s="334">
        <v>1</v>
      </c>
      <c r="F54" s="334">
        <v>2068773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1083453.26158444</v>
      </c>
      <c r="E57" s="334">
        <v>81</v>
      </c>
      <c r="F57" s="334">
        <v>1298770.45858784</v>
      </c>
    </row>
    <row r="58" spans="1:6">
      <c r="A58" s="348" t="s">
        <v>49</v>
      </c>
      <c r="B58" s="348" t="s">
        <v>51</v>
      </c>
      <c r="C58" s="334">
        <v>50</v>
      </c>
      <c r="D58" s="334">
        <v>7308849.2526775897</v>
      </c>
      <c r="E58" s="334">
        <v>126</v>
      </c>
      <c r="F58" s="334">
        <v>1440626.1684366099</v>
      </c>
    </row>
    <row r="59" spans="1:6">
      <c r="A59" s="348" t="s">
        <v>49</v>
      </c>
      <c r="B59" s="348" t="s">
        <v>52</v>
      </c>
      <c r="C59" s="334">
        <v>27</v>
      </c>
      <c r="D59" s="334">
        <v>2463700.4504822399</v>
      </c>
      <c r="E59" s="334">
        <v>91</v>
      </c>
      <c r="F59" s="334">
        <v>5787404.2203469202</v>
      </c>
    </row>
    <row r="60" spans="1:6">
      <c r="A60" s="348" t="s">
        <v>49</v>
      </c>
      <c r="B60" s="348" t="s">
        <v>53</v>
      </c>
      <c r="C60" s="334">
        <v>71</v>
      </c>
      <c r="D60" s="334">
        <v>3116430.4996254998</v>
      </c>
      <c r="E60" s="334">
        <v>99</v>
      </c>
      <c r="F60" s="334">
        <v>2756788.3780502202</v>
      </c>
    </row>
    <row r="61" spans="1:6">
      <c r="A61" s="348" t="s">
        <v>49</v>
      </c>
      <c r="B61" s="348" t="s">
        <v>54</v>
      </c>
      <c r="C61" s="334">
        <v>163</v>
      </c>
      <c r="D61" s="334">
        <v>5854677.5469000796</v>
      </c>
      <c r="E61" s="334">
        <v>352</v>
      </c>
      <c r="F61" s="334">
        <v>3309883.70351208</v>
      </c>
    </row>
    <row r="62" spans="1:6">
      <c r="A62" s="348" t="s">
        <v>49</v>
      </c>
      <c r="B62" s="348" t="s">
        <v>55</v>
      </c>
      <c r="C62" s="334">
        <v>3</v>
      </c>
      <c r="D62" s="334">
        <v>2036774.6975843599</v>
      </c>
      <c r="E62" s="334">
        <v>3</v>
      </c>
      <c r="F62" s="334">
        <v>183655.808806388</v>
      </c>
    </row>
    <row r="63" spans="1:6">
      <c r="A63" s="348" t="s">
        <v>49</v>
      </c>
      <c r="B63" s="348" t="s">
        <v>29</v>
      </c>
      <c r="C63" s="334">
        <v>296</v>
      </c>
      <c r="D63" s="334">
        <v>22507140.299107701</v>
      </c>
      <c r="E63" s="334">
        <v>371</v>
      </c>
      <c r="F63" s="334">
        <v>20784146.457384899</v>
      </c>
    </row>
    <row r="64" spans="1:6">
      <c r="A64" s="348" t="s">
        <v>56</v>
      </c>
      <c r="B64" s="348" t="s">
        <v>57</v>
      </c>
      <c r="C64" s="334">
        <v>0</v>
      </c>
      <c r="D64" s="334">
        <v>0</v>
      </c>
      <c r="E64" s="334">
        <v>0</v>
      </c>
      <c r="F64" s="334">
        <v>0</v>
      </c>
    </row>
    <row r="65" spans="1:6">
      <c r="A65" s="348" t="s">
        <v>56</v>
      </c>
      <c r="B65" s="348" t="s">
        <v>29</v>
      </c>
      <c r="C65" s="334">
        <v>4</v>
      </c>
      <c r="D65" s="334">
        <v>106349.944779005</v>
      </c>
      <c r="E65" s="334">
        <v>12</v>
      </c>
      <c r="F65" s="334">
        <v>710483.65500899102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41267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116882</v>
      </c>
      <c r="E73" s="476">
        <v>118416.21315705837</v>
      </c>
    </row>
    <row r="74" spans="1:6">
      <c r="A74" s="348" t="s">
        <v>64</v>
      </c>
      <c r="B74" s="348" t="s">
        <v>657</v>
      </c>
      <c r="C74" s="1272" t="s">
        <v>659</v>
      </c>
      <c r="D74" s="476">
        <v>3162</v>
      </c>
      <c r="E74" s="476">
        <v>3101.8343753963222</v>
      </c>
    </row>
    <row r="75" spans="1:6">
      <c r="A75" s="348" t="s">
        <v>65</v>
      </c>
      <c r="B75" s="348" t="s">
        <v>656</v>
      </c>
      <c r="C75" s="1272" t="s">
        <v>660</v>
      </c>
      <c r="D75" s="476">
        <v>114581936</v>
      </c>
      <c r="E75" s="476">
        <v>116088564.82258341</v>
      </c>
    </row>
    <row r="76" spans="1:6">
      <c r="A76" s="348" t="s">
        <v>65</v>
      </c>
      <c r="B76" s="348" t="s">
        <v>657</v>
      </c>
      <c r="C76" s="1272" t="s">
        <v>661</v>
      </c>
      <c r="D76" s="476">
        <v>3659106.1635704339</v>
      </c>
      <c r="E76" s="476">
        <v>3578291.7587102335</v>
      </c>
    </row>
    <row r="77" spans="1:6">
      <c r="A77" s="348" t="s">
        <v>66</v>
      </c>
      <c r="B77" s="348" t="s">
        <v>656</v>
      </c>
      <c r="C77" s="1272" t="s">
        <v>662</v>
      </c>
      <c r="D77" s="476">
        <v>173449647</v>
      </c>
      <c r="E77" s="476">
        <v>171623225.25651011</v>
      </c>
    </row>
    <row r="78" spans="1:6">
      <c r="A78" s="341" t="s">
        <v>66</v>
      </c>
      <c r="B78" s="341" t="s">
        <v>657</v>
      </c>
      <c r="C78" s="341" t="s">
        <v>663</v>
      </c>
      <c r="D78" s="1273">
        <v>14461816</v>
      </c>
      <c r="E78" s="1273">
        <v>14276582.24247011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766135.67285913206</v>
      </c>
      <c r="C83" s="476">
        <v>767178.27014698542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6889.4141862719916</v>
      </c>
    </row>
    <row r="91" spans="1:6">
      <c r="A91" s="348" t="s">
        <v>68</v>
      </c>
      <c r="B91" s="334">
        <v>2707.7318355887783</v>
      </c>
    </row>
    <row r="92" spans="1:6">
      <c r="A92" s="341" t="s">
        <v>69</v>
      </c>
      <c r="B92" s="342">
        <v>1836.7785559058141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4478</v>
      </c>
    </row>
    <row r="98" spans="1:6">
      <c r="A98" s="348" t="s">
        <v>72</v>
      </c>
      <c r="B98" s="334">
        <v>4</v>
      </c>
    </row>
    <row r="99" spans="1:6">
      <c r="A99" s="348" t="s">
        <v>73</v>
      </c>
      <c r="B99" s="334">
        <v>69</v>
      </c>
    </row>
    <row r="100" spans="1:6">
      <c r="A100" s="348" t="s">
        <v>74</v>
      </c>
      <c r="B100" s="334">
        <v>697</v>
      </c>
    </row>
    <row r="101" spans="1:6">
      <c r="A101" s="348" t="s">
        <v>75</v>
      </c>
      <c r="B101" s="334">
        <v>74</v>
      </c>
    </row>
    <row r="102" spans="1:6">
      <c r="A102" s="348" t="s">
        <v>76</v>
      </c>
      <c r="B102" s="334">
        <v>108</v>
      </c>
    </row>
    <row r="103" spans="1:6">
      <c r="A103" s="348" t="s">
        <v>77</v>
      </c>
      <c r="B103" s="334">
        <v>166</v>
      </c>
    </row>
    <row r="104" spans="1:6">
      <c r="A104" s="348" t="s">
        <v>78</v>
      </c>
      <c r="B104" s="334">
        <v>2953</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20</v>
      </c>
      <c r="C123" s="334">
        <v>32</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99173.811157327204</v>
      </c>
      <c r="C3" s="43" t="s">
        <v>170</v>
      </c>
      <c r="D3" s="43"/>
      <c r="E3" s="154"/>
      <c r="F3" s="43"/>
      <c r="G3" s="43"/>
      <c r="H3" s="43"/>
      <c r="I3" s="43"/>
      <c r="J3" s="43"/>
      <c r="K3" s="96"/>
    </row>
    <row r="4" spans="1:11">
      <c r="A4" s="383" t="s">
        <v>171</v>
      </c>
      <c r="B4" s="49">
        <f>IF(ISERROR('SEAP template'!B69),0,'SEAP template'!B69)</f>
        <v>11433.924577766584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0.19552051804606158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2068.7730000000001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2068.7730000000001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0.19552051804606158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404.48756867970496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39523.4159636802</v>
      </c>
      <c r="C5" s="17">
        <f>IF(ISERROR('Eigen informatie GS &amp; warmtenet'!B57),0,'Eigen informatie GS &amp; warmtenet'!B57)</f>
        <v>0</v>
      </c>
      <c r="D5" s="30">
        <f>(SUM(HH_hh_gas_kWh,HH_rest_gas_kWh)/1000)*0.902</f>
        <v>121112.77397880623</v>
      </c>
      <c r="E5" s="17">
        <f>B46*B57</f>
        <v>3180.9077342883834</v>
      </c>
      <c r="F5" s="17">
        <f>B51*B62</f>
        <v>26563.970922836728</v>
      </c>
      <c r="G5" s="18"/>
      <c r="H5" s="17"/>
      <c r="I5" s="17"/>
      <c r="J5" s="17">
        <f>B50*B61+C50*C61</f>
        <v>0</v>
      </c>
      <c r="K5" s="17"/>
      <c r="L5" s="17"/>
      <c r="M5" s="17"/>
      <c r="N5" s="17">
        <f>B48*B59+C48*C59</f>
        <v>11625.894274669066</v>
      </c>
      <c r="O5" s="17">
        <f>B69*B70*B71</f>
        <v>220.43000000000004</v>
      </c>
      <c r="P5" s="17">
        <f>B77*B78*B79/1000-B77*B78*B79/1000/B80</f>
        <v>705.4666666666667</v>
      </c>
    </row>
    <row r="6" spans="1:16">
      <c r="A6" s="16" t="s">
        <v>621</v>
      </c>
      <c r="B6" s="843">
        <f>kWh_PV_kleiner_dan_10kW</f>
        <v>2707.7318355887783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42231.147799268976</v>
      </c>
      <c r="C8" s="21">
        <f>C5</f>
        <v>0</v>
      </c>
      <c r="D8" s="21">
        <f>D5</f>
        <v>121112.77397880623</v>
      </c>
      <c r="E8" s="21">
        <f>E5</f>
        <v>3180.9077342883834</v>
      </c>
      <c r="F8" s="21">
        <f>F5</f>
        <v>26563.970922836728</v>
      </c>
      <c r="G8" s="21"/>
      <c r="H8" s="21"/>
      <c r="I8" s="21"/>
      <c r="J8" s="21">
        <f>J5</f>
        <v>0</v>
      </c>
      <c r="K8" s="21"/>
      <c r="L8" s="21">
        <f>L5</f>
        <v>0</v>
      </c>
      <c r="M8" s="21">
        <f>M5</f>
        <v>0</v>
      </c>
      <c r="N8" s="21">
        <f>N5</f>
        <v>11625.894274669066</v>
      </c>
      <c r="O8" s="21">
        <f>O5</f>
        <v>220.43000000000004</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0.19552051804606158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8257.055895392863</v>
      </c>
      <c r="C12" s="23">
        <f ca="1">C10*C8</f>
        <v>0</v>
      </c>
      <c r="D12" s="23">
        <f>D8*D10</f>
        <v>24464.78034371886</v>
      </c>
      <c r="E12" s="23">
        <f>E10*E8</f>
        <v>722.06605568346311</v>
      </c>
      <c r="F12" s="23">
        <f>F10*F8</f>
        <v>7092.5802363974071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4478</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8.2142857142857135</v>
      </c>
      <c r="D20" s="229"/>
      <c r="E20" s="15"/>
    </row>
    <row r="21" spans="1:7">
      <c r="A21" s="171" t="s">
        <v>74</v>
      </c>
      <c r="B21" s="37">
        <f>aantalw2001_elektriciteit</f>
        <v>697</v>
      </c>
      <c r="C21" s="167">
        <f>IF(ISERROR(B21/SUM($B$20,$B$21,$B$22)*100),0,B21/SUM($B$20,$B$21,$B$22)*100)</f>
        <v>82.976190476190482</v>
      </c>
      <c r="D21" s="229"/>
      <c r="E21" s="15"/>
    </row>
    <row r="22" spans="1:7">
      <c r="A22" s="171" t="s">
        <v>75</v>
      </c>
      <c r="B22" s="37">
        <f>aantalw2001_hout</f>
        <v>74</v>
      </c>
      <c r="C22" s="167">
        <f>IF(ISERROR(B22/SUM($B$20,$B$21,$B$22)*100),0,B22/SUM($B$20,$B$21,$B$22)*100)</f>
        <v>8.8095238095238102</v>
      </c>
      <c r="D22" s="229"/>
      <c r="E22" s="15"/>
    </row>
    <row r="23" spans="1:7">
      <c r="A23" s="171" t="s">
        <v>76</v>
      </c>
      <c r="B23" s="37">
        <f>aantalw2001_niet_gespec</f>
        <v>108</v>
      </c>
      <c r="C23" s="166" t="s">
        <v>111</v>
      </c>
      <c r="D23" s="228"/>
      <c r="E23" s="15"/>
    </row>
    <row r="24" spans="1:7">
      <c r="A24" s="171" t="s">
        <v>77</v>
      </c>
      <c r="B24" s="37">
        <f>aantalw2001_steenkool</f>
        <v>166</v>
      </c>
      <c r="C24" s="166" t="s">
        <v>111</v>
      </c>
      <c r="D24" s="229"/>
      <c r="E24" s="15"/>
    </row>
    <row r="25" spans="1:7">
      <c r="A25" s="171" t="s">
        <v>78</v>
      </c>
      <c r="B25" s="37">
        <f>aantalw2001_stookolie</f>
        <v>2953</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9511</v>
      </c>
      <c r="C28" s="36"/>
      <c r="D28" s="228"/>
    </row>
    <row r="29" spans="1:7" s="15" customFormat="1">
      <c r="A29" s="230" t="s">
        <v>795</v>
      </c>
      <c r="B29" s="37">
        <f>SUM(HH_hh_gas_aantal,HH_rest_gas_aantal)</f>
        <v>6619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6619</v>
      </c>
      <c r="C32" s="167">
        <f>IF(ISERROR(B32/SUM($B$32,$B$34,$B$35,$B$36,$B$38,$B$39)*100),0,B32/SUM($B$32,$B$34,$B$35,$B$36,$B$38,$B$39)*100)</f>
        <v>69.864893392442468</v>
      </c>
      <c r="D32" s="233"/>
      <c r="G32" s="15"/>
    </row>
    <row r="33" spans="1:7">
      <c r="A33" s="171" t="s">
        <v>72</v>
      </c>
      <c r="B33" s="34" t="s">
        <v>111</v>
      </c>
      <c r="C33" s="167"/>
      <c r="D33" s="233"/>
      <c r="G33" s="15"/>
    </row>
    <row r="34" spans="1:7">
      <c r="A34" s="171" t="s">
        <v>73</v>
      </c>
      <c r="B34" s="33">
        <f>IF((($B$28-$B$32-$B$39-$B$77-$B$38)*C20/100)&lt;0,0,($B$28-$B$32-$B$39-$B$77-$B$38)*C20/100)</f>
        <v>150.23107142857143</v>
      </c>
      <c r="C34" s="167">
        <f>IF(ISERROR(B34/SUM($B$32,$B$34,$B$35,$B$36,$B$38,$B$39)*100),0,B34/SUM($B$32,$B$34,$B$35,$B$36,$B$38,$B$39)*100)</f>
        <v>1.5857195633161434</v>
      </c>
      <c r="D34" s="233"/>
      <c r="G34" s="15"/>
    </row>
    <row r="35" spans="1:7">
      <c r="A35" s="171" t="s">
        <v>74</v>
      </c>
      <c r="B35" s="33">
        <f>IF((($B$28-$B$32-$B$39-$B$77-$B$38)*C21/100)&lt;0,0,($B$28-$B$32-$B$39-$B$77-$B$38)*C21/100)</f>
        <v>1517.5515476190478</v>
      </c>
      <c r="C35" s="167">
        <f>IF(ISERROR(B35/SUM($B$32,$B$34,$B$35,$B$36,$B$38,$B$39)*100),0,B35/SUM($B$32,$B$34,$B$35,$B$36,$B$38,$B$39)*100)</f>
        <v>16.018065733787711</v>
      </c>
      <c r="D35" s="233"/>
      <c r="G35" s="15"/>
    </row>
    <row r="36" spans="1:7">
      <c r="A36" s="171" t="s">
        <v>75</v>
      </c>
      <c r="B36" s="33">
        <f>IF((($B$28-$B$32-$B$39-$B$77-$B$38)*C22/100)&lt;0,0,($B$28-$B$32-$B$39-$B$77-$B$38)*C22/100)</f>
        <v>161.11738095238098</v>
      </c>
      <c r="C36" s="167">
        <f>IF(ISERROR(B36/SUM($B$32,$B$34,$B$35,$B$36,$B$38,$B$39)*100),0,B36/SUM($B$32,$B$34,$B$35,$B$36,$B$38,$B$39)*100)</f>
        <v>1.7006267780491975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1026.0999999999999</v>
      </c>
      <c r="C39" s="167">
        <f>IF(ISERROR(B39/SUM($B$32,$B$34,$B$35,$B$36,$B$38,$B$39)*100),0,B39/SUM($B$32,$B$34,$B$35,$B$36,$B$38,$B$39)*100)</f>
        <v>10.830694532404475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6619</v>
      </c>
      <c r="C44" s="34" t="s">
        <v>111</v>
      </c>
      <c r="D44" s="174"/>
    </row>
    <row r="45" spans="1:7">
      <c r="A45" s="171" t="s">
        <v>72</v>
      </c>
      <c r="B45" s="33" t="str">
        <f t="shared" si="0"/>
        <v>-</v>
      </c>
      <c r="C45" s="34" t="s">
        <v>111</v>
      </c>
      <c r="D45" s="174"/>
    </row>
    <row r="46" spans="1:7">
      <c r="A46" s="171" t="s">
        <v>73</v>
      </c>
      <c r="B46" s="33">
        <f t="shared" si="0"/>
        <v>150.23107142857143</v>
      </c>
      <c r="C46" s="34" t="s">
        <v>111</v>
      </c>
      <c r="D46" s="174"/>
    </row>
    <row r="47" spans="1:7">
      <c r="A47" s="171" t="s">
        <v>74</v>
      </c>
      <c r="B47" s="33">
        <f t="shared" si="0"/>
        <v>1517.5515476190478</v>
      </c>
      <c r="C47" s="34" t="s">
        <v>111</v>
      </c>
      <c r="D47" s="174"/>
    </row>
    <row r="48" spans="1:7">
      <c r="A48" s="171" t="s">
        <v>75</v>
      </c>
      <c r="B48" s="33">
        <f t="shared" si="0"/>
        <v>161.11738095238098</v>
      </c>
      <c r="C48" s="33">
        <f>B48*10</f>
        <v>1611.1738095238097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1026.0999999999999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35561.275195124959</v>
      </c>
      <c r="C5" s="17">
        <f>IF(ISERROR('Eigen informatie GS &amp; warmtenet'!B58),0,'Eigen informatie GS &amp; warmtenet'!B58)</f>
        <v>0</v>
      </c>
      <c r="D5" s="30">
        <f>SUM(D6:D12)</f>
        <v>40022.665459181648</v>
      </c>
      <c r="E5" s="17">
        <f>SUM(E6:E12)</f>
        <v>511.91245292126303</v>
      </c>
      <c r="F5" s="17">
        <f>SUM(F6:F12)</f>
        <v>6141.2931791646388</v>
      </c>
      <c r="G5" s="18"/>
      <c r="H5" s="17"/>
      <c r="I5" s="17"/>
      <c r="J5" s="17">
        <f>SUM(J6:J12)</f>
        <v>7.8520550782364432E-2</v>
      </c>
      <c r="K5" s="17"/>
      <c r="L5" s="17"/>
      <c r="M5" s="17"/>
      <c r="N5" s="17">
        <f>SUM(N6:N12)</f>
        <v>3150.2019811359064</v>
      </c>
      <c r="O5" s="17">
        <f>B38*B39*B40</f>
        <v>1.5633333333333335</v>
      </c>
      <c r="P5" s="17">
        <f>B46*B47*B48/1000-B46*B47*B48/1000/B49</f>
        <v>38.133333333333333</v>
      </c>
      <c r="R5" s="32"/>
    </row>
    <row r="6" spans="1:18">
      <c r="A6" s="32" t="s">
        <v>54</v>
      </c>
      <c r="B6" s="37">
        <f>B26</f>
        <v>3309.88370351208</v>
      </c>
      <c r="C6" s="33"/>
      <c r="D6" s="37">
        <f>IF(ISERROR(TER_kantoor_gas_kWh/1000),0,TER_kantoor_gas_kWh/1000)*0.902</f>
        <v>5280.9191473038718</v>
      </c>
      <c r="E6" s="33">
        <f>$C$26*'E Balans VL '!I12/100/3.6*1000000</f>
        <v>2.0745250203540302E-2</v>
      </c>
      <c r="F6" s="33">
        <f>$C$26*('E Balans VL '!L12+'E Balans VL '!N12)/100/3.6*1000000</f>
        <v>497.3830336663591</v>
      </c>
      <c r="G6" s="34"/>
      <c r="H6" s="33"/>
      <c r="I6" s="33"/>
      <c r="J6" s="33">
        <f>$C$26*('E Balans VL '!D12+'E Balans VL '!E12)/100/3.6*1000000</f>
        <v>0</v>
      </c>
      <c r="K6" s="33"/>
      <c r="L6" s="33"/>
      <c r="M6" s="33"/>
      <c r="N6" s="33">
        <f>$C$26*'E Balans VL '!Y12/100/3.6*1000000</f>
        <v>3.1654130182939557</v>
      </c>
      <c r="O6" s="33"/>
      <c r="P6" s="33"/>
      <c r="R6" s="32"/>
    </row>
    <row r="7" spans="1:18">
      <c r="A7" s="32" t="s">
        <v>53</v>
      </c>
      <c r="B7" s="37">
        <f t="shared" ref="B7:B12" si="0">B27</f>
        <v>2756.7883780502202</v>
      </c>
      <c r="C7" s="33"/>
      <c r="D7" s="37">
        <f>IF(ISERROR(TER_horeca_gas_kWh/1000),0,TER_horeca_gas_kWh/1000)*0.902</f>
        <v>2811.0203106622012</v>
      </c>
      <c r="E7" s="33">
        <f>$C$27*'E Balans VL '!I9/100/3.6*1000000</f>
        <v>39.476750380394506</v>
      </c>
      <c r="F7" s="33">
        <f>$C$27*('E Balans VL '!L9+'E Balans VL '!N9)/100/3.6*1000000</f>
        <v>349.10033104472944</v>
      </c>
      <c r="G7" s="34"/>
      <c r="H7" s="33"/>
      <c r="I7" s="33"/>
      <c r="J7" s="33">
        <f>$C$27*('E Balans VL '!D9+'E Balans VL '!E9)/100/3.6*1000000</f>
        <v>0</v>
      </c>
      <c r="K7" s="33"/>
      <c r="L7" s="33"/>
      <c r="M7" s="33"/>
      <c r="N7" s="33">
        <f>$C$27*'E Balans VL '!Y9/100/3.6*1000000</f>
        <v>0.79251587672320611</v>
      </c>
      <c r="O7" s="33"/>
      <c r="P7" s="33"/>
      <c r="R7" s="32"/>
    </row>
    <row r="8" spans="1:18">
      <c r="A8" s="6" t="s">
        <v>52</v>
      </c>
      <c r="B8" s="37">
        <f t="shared" si="0"/>
        <v>5787.4042203469198</v>
      </c>
      <c r="C8" s="33"/>
      <c r="D8" s="37">
        <f>IF(ISERROR(TER_handel_gas_kWh/1000),0,TER_handel_gas_kWh/1000)*0.902</f>
        <v>2222.2578063349802</v>
      </c>
      <c r="E8" s="33">
        <f>$C$28*'E Balans VL '!I13/100/3.6*1000000</f>
        <v>209.90843740126789</v>
      </c>
      <c r="F8" s="33">
        <f>$C$28*('E Balans VL '!L13+'E Balans VL '!N13)/100/3.6*1000000</f>
        <v>1114.7126540322952</v>
      </c>
      <c r="G8" s="34"/>
      <c r="H8" s="33"/>
      <c r="I8" s="33"/>
      <c r="J8" s="33">
        <f>$C$28*('E Balans VL '!D13+'E Balans VL '!E13)/100/3.6*1000000</f>
        <v>0</v>
      </c>
      <c r="K8" s="33"/>
      <c r="L8" s="33"/>
      <c r="M8" s="33"/>
      <c r="N8" s="33">
        <f>$C$28*'E Balans VL '!Y13/100/3.6*1000000</f>
        <v>8.0168864675030118</v>
      </c>
      <c r="O8" s="33"/>
      <c r="P8" s="33"/>
      <c r="R8" s="32"/>
    </row>
    <row r="9" spans="1:18">
      <c r="A9" s="32" t="s">
        <v>51</v>
      </c>
      <c r="B9" s="37">
        <f t="shared" si="0"/>
        <v>1440.62616843661</v>
      </c>
      <c r="C9" s="33"/>
      <c r="D9" s="37">
        <f>IF(ISERROR(TER_gezond_gas_kWh/1000),0,TER_gezond_gas_kWh/1000)*0.902</f>
        <v>6592.582025915186</v>
      </c>
      <c r="E9" s="33">
        <f>$C$29*'E Balans VL '!I10/100/3.6*1000000</f>
        <v>9.01974217579007E-2</v>
      </c>
      <c r="F9" s="33">
        <f>$C$29*('E Balans VL '!L10+'E Balans VL '!N10)/100/3.6*1000000</f>
        <v>214.00940361021327</v>
      </c>
      <c r="G9" s="34"/>
      <c r="H9" s="33"/>
      <c r="I9" s="33"/>
      <c r="J9" s="33">
        <f>$C$29*('E Balans VL '!D10+'E Balans VL '!E10)/100/3.6*1000000</f>
        <v>0</v>
      </c>
      <c r="K9" s="33"/>
      <c r="L9" s="33"/>
      <c r="M9" s="33"/>
      <c r="N9" s="33">
        <f>$C$29*'E Balans VL '!Y10/100/3.6*1000000</f>
        <v>22.283744581920267</v>
      </c>
      <c r="O9" s="33"/>
      <c r="P9" s="33"/>
      <c r="R9" s="32"/>
    </row>
    <row r="10" spans="1:18">
      <c r="A10" s="32" t="s">
        <v>50</v>
      </c>
      <c r="B10" s="37">
        <f t="shared" si="0"/>
        <v>1298.77045858784</v>
      </c>
      <c r="C10" s="33"/>
      <c r="D10" s="37">
        <f>IF(ISERROR(TER_ander_gas_kWh/1000),0,TER_ander_gas_kWh/1000)*0.902</f>
        <v>977.27484194916497</v>
      </c>
      <c r="E10" s="33">
        <f>$C$30*'E Balans VL '!I14/100/3.6*1000000</f>
        <v>1.5480879764224638</v>
      </c>
      <c r="F10" s="33">
        <f>$C$30*('E Balans VL '!L14+'E Balans VL '!N14)/100/3.6*1000000</f>
        <v>339.81609076618105</v>
      </c>
      <c r="G10" s="34"/>
      <c r="H10" s="33"/>
      <c r="I10" s="33"/>
      <c r="J10" s="33">
        <f>$C$30*('E Balans VL '!D14+'E Balans VL '!E14)/100/3.6*1000000</f>
        <v>2.8191215616317926E-2</v>
      </c>
      <c r="K10" s="33"/>
      <c r="L10" s="33"/>
      <c r="M10" s="33"/>
      <c r="N10" s="33">
        <f>$C$30*'E Balans VL '!Y14/100/3.6*1000000</f>
        <v>1102.8840929670141</v>
      </c>
      <c r="O10" s="33"/>
      <c r="P10" s="33"/>
      <c r="R10" s="32"/>
    </row>
    <row r="11" spans="1:18">
      <c r="A11" s="32" t="s">
        <v>55</v>
      </c>
      <c r="B11" s="37">
        <f t="shared" si="0"/>
        <v>183.65580880638799</v>
      </c>
      <c r="C11" s="33"/>
      <c r="D11" s="37">
        <f>IF(ISERROR(TER_onderwijs_gas_kWh/1000),0,TER_onderwijs_gas_kWh/1000)*0.902</f>
        <v>1837.1707772210927</v>
      </c>
      <c r="E11" s="33">
        <f>$C$31*'E Balans VL '!I11/100/3.6*1000000</f>
        <v>2.7710703490802278</v>
      </c>
      <c r="F11" s="33">
        <f>$C$31*('E Balans VL '!L11+'E Balans VL '!N11)/100/3.6*1000000</f>
        <v>32.179431691710043</v>
      </c>
      <c r="G11" s="34"/>
      <c r="H11" s="33"/>
      <c r="I11" s="33"/>
      <c r="J11" s="33">
        <f>$C$31*('E Balans VL '!D11+'E Balans VL '!E11)/100/3.6*1000000</f>
        <v>0</v>
      </c>
      <c r="K11" s="33"/>
      <c r="L11" s="33"/>
      <c r="M11" s="33"/>
      <c r="N11" s="33">
        <f>$C$31*'E Balans VL '!Y11/100/3.6*1000000</f>
        <v>0.51682140802746224</v>
      </c>
      <c r="O11" s="33"/>
      <c r="P11" s="33"/>
      <c r="R11" s="32"/>
    </row>
    <row r="12" spans="1:18">
      <c r="A12" s="32" t="s">
        <v>260</v>
      </c>
      <c r="B12" s="37">
        <f t="shared" si="0"/>
        <v>20784.146457384901</v>
      </c>
      <c r="C12" s="33"/>
      <c r="D12" s="37">
        <f>IF(ISERROR(TER_rest_gas_kWh/1000),0,TER_rest_gas_kWh/1000)*0.902</f>
        <v>20301.440549795148</v>
      </c>
      <c r="E12" s="33">
        <f>$C$32*'E Balans VL '!I8/100/3.6*1000000</f>
        <v>258.09716414213653</v>
      </c>
      <c r="F12" s="33">
        <f>$C$32*('E Balans VL '!L8+'E Balans VL '!N8)/100/3.6*1000000</f>
        <v>3594.0922343531511</v>
      </c>
      <c r="G12" s="34"/>
      <c r="H12" s="33"/>
      <c r="I12" s="33"/>
      <c r="J12" s="33">
        <f>$C$32*('E Balans VL '!D8+'E Balans VL '!E8)/100/3.6*1000000</f>
        <v>5.0329335166046506E-2</v>
      </c>
      <c r="K12" s="33"/>
      <c r="L12" s="33"/>
      <c r="M12" s="33"/>
      <c r="N12" s="33">
        <f>$C$32*'E Balans VL '!Y8/100/3.6*1000000</f>
        <v>2012.5425068164243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35561.275195124959</v>
      </c>
      <c r="C16" s="21">
        <f t="shared" ca="1" si="1"/>
        <v>0</v>
      </c>
      <c r="D16" s="21">
        <f t="shared" ca="1" si="1"/>
        <v>40022.665459181648</v>
      </c>
      <c r="E16" s="21">
        <f t="shared" si="1"/>
        <v>511.91245292126303</v>
      </c>
      <c r="F16" s="21">
        <f t="shared" ca="1" si="1"/>
        <v>6141.2931791646388</v>
      </c>
      <c r="G16" s="21">
        <f t="shared" si="1"/>
        <v>0</v>
      </c>
      <c r="H16" s="21">
        <f t="shared" si="1"/>
        <v>0</v>
      </c>
      <c r="I16" s="21">
        <f t="shared" si="1"/>
        <v>0</v>
      </c>
      <c r="J16" s="21">
        <f t="shared" si="1"/>
        <v>7.8520550782364432E-2</v>
      </c>
      <c r="K16" s="21">
        <f t="shared" si="1"/>
        <v>0</v>
      </c>
      <c r="L16" s="21">
        <f t="shared" ca="1" si="1"/>
        <v>0</v>
      </c>
      <c r="M16" s="21">
        <f t="shared" si="1"/>
        <v>0</v>
      </c>
      <c r="N16" s="21">
        <f t="shared" ca="1" si="1"/>
        <v>3150.2019811359064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0.19552051804606158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6952.9589485293918</v>
      </c>
      <c r="C20" s="23">
        <f t="shared" ref="C20:P20" ca="1" si="2">C16*C18</f>
        <v>0</v>
      </c>
      <c r="D20" s="23">
        <f t="shared" ca="1" si="2"/>
        <v>8084.5784227546937</v>
      </c>
      <c r="E20" s="23">
        <f t="shared" si="2"/>
        <v>116.20412681312671</v>
      </c>
      <c r="F20" s="23">
        <f t="shared" ca="1" si="2"/>
        <v>1639.7252788369588</v>
      </c>
      <c r="G20" s="23">
        <f t="shared" si="2"/>
        <v>0</v>
      </c>
      <c r="H20" s="23">
        <f t="shared" si="2"/>
        <v>0</v>
      </c>
      <c r="I20" s="23">
        <f t="shared" si="2"/>
        <v>0</v>
      </c>
      <c r="J20" s="23">
        <f t="shared" si="2"/>
        <v>2.7796274976957008E-2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3309.88370351208</v>
      </c>
      <c r="C26" s="39">
        <f>IF(ISERROR(B26*3.6/1000000/'E Balans VL '!Z12*100),0,B26*3.6/1000000/'E Balans VL '!Z12*100)</f>
        <v>6.9965698212932761E-2</v>
      </c>
      <c r="D26" s="237" t="s">
        <v>754</v>
      </c>
      <c r="F26" s="6"/>
    </row>
    <row r="27" spans="1:18">
      <c r="A27" s="231" t="s">
        <v>53</v>
      </c>
      <c r="B27" s="33">
        <f>IF(ISERROR(TER_horeca_ele_kWh/1000),0,TER_horeca_ele_kWh/1000)</f>
        <v>2756.7883780502202</v>
      </c>
      <c r="C27" s="39">
        <f>IF(ISERROR(B27*3.6/1000000/'E Balans VL '!Z9*100),0,B27*3.6/1000000/'E Balans VL '!Z9*100)</f>
        <v>0.21731660033421424</v>
      </c>
      <c r="D27" s="237" t="s">
        <v>754</v>
      </c>
      <c r="F27" s="6"/>
    </row>
    <row r="28" spans="1:18">
      <c r="A28" s="171" t="s">
        <v>52</v>
      </c>
      <c r="B28" s="33">
        <f>IF(ISERROR(TER_handel_ele_kWh/1000),0,TER_handel_ele_kWh/1000)</f>
        <v>5787.4042203469198</v>
      </c>
      <c r="C28" s="39">
        <f>IF(ISERROR(B28*3.6/1000000/'E Balans VL '!Z13*100),0,B28*3.6/1000000/'E Balans VL '!Z13*100)</f>
        <v>0.16797385420780789</v>
      </c>
      <c r="D28" s="237" t="s">
        <v>754</v>
      </c>
      <c r="F28" s="6"/>
    </row>
    <row r="29" spans="1:18">
      <c r="A29" s="231" t="s">
        <v>51</v>
      </c>
      <c r="B29" s="33">
        <f>IF(ISERROR(TER_gezond_ele_kWh/1000),0,TER_gezond_ele_kWh/1000)</f>
        <v>1440.62616843661</v>
      </c>
      <c r="C29" s="39">
        <f>IF(ISERROR(B29*3.6/1000000/'E Balans VL '!Z10*100),0,B29*3.6/1000000/'E Balans VL '!Z10*100)</f>
        <v>0.15172159124248</v>
      </c>
      <c r="D29" s="237" t="s">
        <v>754</v>
      </c>
      <c r="F29" s="6"/>
    </row>
    <row r="30" spans="1:18">
      <c r="A30" s="231" t="s">
        <v>50</v>
      </c>
      <c r="B30" s="33">
        <f>IF(ISERROR(TER_ander_ele_kWh/1000),0,TER_ander_ele_kWh/1000)</f>
        <v>1298.77045858784</v>
      </c>
      <c r="C30" s="39">
        <f>IF(ISERROR(B30*3.6/1000000/'E Balans VL '!Z14*100),0,B30*3.6/1000000/'E Balans VL '!Z14*100)</f>
        <v>9.5797591116979455E-2</v>
      </c>
      <c r="D30" s="237" t="s">
        <v>754</v>
      </c>
      <c r="F30" s="6"/>
    </row>
    <row r="31" spans="1:18">
      <c r="A31" s="231" t="s">
        <v>55</v>
      </c>
      <c r="B31" s="33">
        <f>IF(ISERROR(TER_onderwijs_ele_kWh/1000),0,TER_onderwijs_ele_kWh/1000)</f>
        <v>183.65580880638799</v>
      </c>
      <c r="C31" s="39">
        <f>IF(ISERROR(B31*3.6/1000000/'E Balans VL '!Z11*100),0,B31*3.6/1000000/'E Balans VL '!Z11*100)</f>
        <v>4.5610340271355763E-2</v>
      </c>
      <c r="D31" s="237" t="s">
        <v>754</v>
      </c>
    </row>
    <row r="32" spans="1:18">
      <c r="A32" s="231" t="s">
        <v>260</v>
      </c>
      <c r="B32" s="33">
        <f>IF(ISERROR(TER_rest_ele_kWh/1000),0,TER_rest_ele_kWh/1000)</f>
        <v>20784.146457384901</v>
      </c>
      <c r="C32" s="39">
        <f>IF(ISERROR(B32*3.6/1000000/'E Balans VL '!Z8*100),0,B32*3.6/1000000/'E Balans VL '!Z8*100)</f>
        <v>0.17102593719426382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19004.260062484289</v>
      </c>
      <c r="C5" s="17">
        <f>IF(ISERROR('Eigen informatie GS &amp; warmtenet'!B59),0,'Eigen informatie GS &amp; warmtenet'!B59)</f>
        <v>0</v>
      </c>
      <c r="D5" s="30">
        <f>SUM(D6:D15)</f>
        <v>26176.424373870454</v>
      </c>
      <c r="E5" s="17">
        <f>SUM(E6:E15)</f>
        <v>1233.022572531178</v>
      </c>
      <c r="F5" s="17">
        <f>SUM(F6:F15)</f>
        <v>4170.7204138504494</v>
      </c>
      <c r="G5" s="18"/>
      <c r="H5" s="17"/>
      <c r="I5" s="17"/>
      <c r="J5" s="17">
        <f>SUM(J6:J15)</f>
        <v>57.384855076472128</v>
      </c>
      <c r="K5" s="17"/>
      <c r="L5" s="17"/>
      <c r="M5" s="17"/>
      <c r="N5" s="17">
        <f>SUM(N6:N15)</f>
        <v>9005.7915695728625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1195.09263025173</v>
      </c>
      <c r="C9" s="33"/>
      <c r="D9" s="37">
        <f>IF( ISERROR(IND_andere_gas_kWh/1000),0,IND_andere_gas_kWh/1000)*0.902</f>
        <v>539.49447588959606</v>
      </c>
      <c r="E9" s="33">
        <f>C31*'E Balans VL '!I19/100/3.6*1000000</f>
        <v>349.34884153191717</v>
      </c>
      <c r="F9" s="33">
        <f>C31*'E Balans VL '!L19/100/3.6*1000000+C31*'E Balans VL '!N19/100/3.6*1000000</f>
        <v>960.34738860735627</v>
      </c>
      <c r="G9" s="34"/>
      <c r="H9" s="33"/>
      <c r="I9" s="33"/>
      <c r="J9" s="40">
        <f>C31*'E Balans VL '!D19/100/3.6*1000000+C31*'E Balans VL '!E19/100/3.6*1000000</f>
        <v>0</v>
      </c>
      <c r="K9" s="33"/>
      <c r="L9" s="33"/>
      <c r="M9" s="33"/>
      <c r="N9" s="33">
        <f>C31*'E Balans VL '!Y19/100/3.6*1000000</f>
        <v>394.87713960776449</v>
      </c>
      <c r="O9" s="33"/>
      <c r="P9" s="33"/>
      <c r="R9" s="32"/>
    </row>
    <row r="10" spans="1:18">
      <c r="A10" s="6" t="s">
        <v>41</v>
      </c>
      <c r="B10" s="37">
        <f t="shared" si="0"/>
        <v>126.307304936031</v>
      </c>
      <c r="C10" s="33"/>
      <c r="D10" s="37">
        <f>IF( ISERROR(IND_voed_gas_kWh/1000),0,IND_voed_gas_kWh/1000)*0.902</f>
        <v>49.446265151276322</v>
      </c>
      <c r="E10" s="33">
        <f>C32*'E Balans VL '!I20/100/3.6*1000000</f>
        <v>0.26720506201013189</v>
      </c>
      <c r="F10" s="33">
        <f>C32*'E Balans VL '!L20/100/3.6*1000000+C32*'E Balans VL '!N20/100/3.6*1000000</f>
        <v>8.0307474669614152</v>
      </c>
      <c r="G10" s="34"/>
      <c r="H10" s="33"/>
      <c r="I10" s="33"/>
      <c r="J10" s="40">
        <f>C32*'E Balans VL '!D20/100/3.6*1000000+C32*'E Balans VL '!E20/100/3.6*1000000</f>
        <v>0</v>
      </c>
      <c r="K10" s="33"/>
      <c r="L10" s="33"/>
      <c r="M10" s="33"/>
      <c r="N10" s="33">
        <f>C32*'E Balans VL '!Y20/100/3.6*1000000</f>
        <v>8.7164504715272688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1728.1436977542298</v>
      </c>
      <c r="C13" s="33"/>
      <c r="D13" s="37">
        <f>IF( ISERROR(IND_papier_gas_kWh/1000),0,IND_papier_gas_kWh/1000)*0.902</f>
        <v>0</v>
      </c>
      <c r="E13" s="33">
        <f>C35*'E Balans VL '!I23/100/3.6*1000000</f>
        <v>2.4518406837176872</v>
      </c>
      <c r="F13" s="33">
        <f>C35*'E Balans VL '!L23/100/3.6*1000000+C35*'E Balans VL '!N23/100/3.6*1000000</f>
        <v>42.190485901454451</v>
      </c>
      <c r="G13" s="34"/>
      <c r="H13" s="33"/>
      <c r="I13" s="33"/>
      <c r="J13" s="40">
        <f>C35*'E Balans VL '!D23/100/3.6*1000000+C35*'E Balans VL '!E23/100/3.6*1000000</f>
        <v>0.26727364765942424</v>
      </c>
      <c r="K13" s="33"/>
      <c r="L13" s="33"/>
      <c r="M13" s="33"/>
      <c r="N13" s="33">
        <f>C35*'E Balans VL '!Y23/100/3.6*1000000</f>
        <v>5023.3046496600109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15954.716429542299</v>
      </c>
      <c r="C15" s="33"/>
      <c r="D15" s="37">
        <f>IF( ISERROR(IND_rest_gas_kWh/1000),0,IND_rest_gas_kWh/1000)*0.902</f>
        <v>25587.483632829582</v>
      </c>
      <c r="E15" s="33">
        <f>C37*'E Balans VL '!I15/100/3.6*1000000</f>
        <v>880.95468525353283</v>
      </c>
      <c r="F15" s="33">
        <f>C37*'E Balans VL '!L15/100/3.6*1000000+C37*'E Balans VL '!N15/100/3.6*1000000</f>
        <v>3160.1517918746777</v>
      </c>
      <c r="G15" s="34"/>
      <c r="H15" s="33"/>
      <c r="I15" s="33"/>
      <c r="J15" s="40">
        <f>C37*'E Balans VL '!D15/100/3.6*1000000+C37*'E Balans VL '!E15/100/3.6*1000000</f>
        <v>57.117581428812706</v>
      </c>
      <c r="K15" s="33"/>
      <c r="L15" s="33"/>
      <c r="M15" s="33"/>
      <c r="N15" s="33">
        <f>C37*'E Balans VL '!Y15/100/3.6*1000000</f>
        <v>3578.8933298335596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19004.260062484289</v>
      </c>
      <c r="C18" s="21">
        <f>C5+C16</f>
        <v>0</v>
      </c>
      <c r="D18" s="21">
        <f>MAX((D5+D16),0)</f>
        <v>26176.424373870454</v>
      </c>
      <c r="E18" s="21">
        <f>MAX((E5+E16),0)</f>
        <v>1233.022572531178</v>
      </c>
      <c r="F18" s="21">
        <f>MAX((F5+F16),0)</f>
        <v>4170.7204138504494</v>
      </c>
      <c r="G18" s="21"/>
      <c r="H18" s="21"/>
      <c r="I18" s="21"/>
      <c r="J18" s="21">
        <f>MAX((J5+J16),0)</f>
        <v>57.384855076472128</v>
      </c>
      <c r="K18" s="21"/>
      <c r="L18" s="21">
        <f>MAX((L5+L16),0)</f>
        <v>0</v>
      </c>
      <c r="M18" s="21"/>
      <c r="N18" s="21">
        <f>MAX((N5+N16),0)</f>
        <v>9005.7915695728625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0.19552051804606158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3715.7227724990066</v>
      </c>
      <c r="C22" s="23">
        <f ca="1">C18*C20</f>
        <v>0</v>
      </c>
      <c r="D22" s="23">
        <f>D18*D20</f>
        <v>5287.6377235218315</v>
      </c>
      <c r="E22" s="23">
        <f>E18*E20</f>
        <v>279.89612396457738</v>
      </c>
      <c r="F22" s="23">
        <f>F18*F20</f>
        <v>1113.5823504980701</v>
      </c>
      <c r="G22" s="23"/>
      <c r="H22" s="23"/>
      <c r="I22" s="23"/>
      <c r="J22" s="23">
        <f>J18*J20</f>
        <v>20.314238697071133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1195.09263025173</v>
      </c>
      <c r="C31" s="39">
        <f>IF(ISERROR(B31*3.6/1000000/'E Balans VL '!Z19*100),0,B31*3.6/1000000/'E Balans VL '!Z19*100)</f>
        <v>5.4204425429116722E-2</v>
      </c>
      <c r="D31" s="237" t="s">
        <v>754</v>
      </c>
    </row>
    <row r="32" spans="1:18">
      <c r="A32" s="171" t="s">
        <v>41</v>
      </c>
      <c r="B32" s="37">
        <f>IF( ISERROR(IND_voed_ele_kWh/1000),0,IND_voed_ele_kWh/1000)</f>
        <v>126.307304936031</v>
      </c>
      <c r="C32" s="39">
        <f>IF(ISERROR(B32*3.6/1000000/'E Balans VL '!Z20*100),0,B32*3.6/1000000/'E Balans VL '!Z20*100)</f>
        <v>3.9072583284216556E-3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1728.1436977542298</v>
      </c>
      <c r="C35" s="39">
        <f>IF(ISERROR(B35*3.6/1000000/'E Balans VL '!Z22*100),0,B35*3.6/1000000/'E Balans VL '!Z22*100)</f>
        <v>0.31083913376357891</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15954.716429542299</v>
      </c>
      <c r="C37" s="39">
        <f>IF(ISERROR(B37*3.6/1000000/'E Balans VL '!Z15*100),0,B37*3.6/1000000/'E Balans VL '!Z15*100)</f>
        <v>0.12646072195940619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194.99653954648389</v>
      </c>
      <c r="C5" s="17">
        <f>'Eigen informatie GS &amp; warmtenet'!B60</f>
        <v>0</v>
      </c>
      <c r="D5" s="30">
        <f>IF(ISERROR(SUM(LB_lb_gas_kWh,LB_rest_gas_kWh,onbekend_gas_kWh)/1000),0,SUM(LB_lb_gas_kWh,LB_rest_gas_kWh,onbekend_gas_kWh)/1000)*0.902</f>
        <v>3022.813935464992</v>
      </c>
      <c r="E5" s="17">
        <f>B17*'E Balans VL '!I25/3.6*1000000/100</f>
        <v>5.7315438854466176</v>
      </c>
      <c r="F5" s="17">
        <f>B17*('E Balans VL '!L25/3.6*1000000+'E Balans VL '!N25/3.6*1000000)/100</f>
        <v>812.34504669072044</v>
      </c>
      <c r="G5" s="18"/>
      <c r="H5" s="17"/>
      <c r="I5" s="17"/>
      <c r="J5" s="17">
        <f>('E Balans VL '!D25+'E Balans VL '!E25)/3.6*1000000*landbouw!B17/100</f>
        <v>28.250810981663786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194.99653954648389</v>
      </c>
      <c r="C8" s="21">
        <f>C5+C6</f>
        <v>0</v>
      </c>
      <c r="D8" s="21">
        <f>MAX((D5+D6),0)</f>
        <v>3022.813935464992</v>
      </c>
      <c r="E8" s="21">
        <f>MAX((E5+E6),0)</f>
        <v>5.7315438854466176</v>
      </c>
      <c r="F8" s="21">
        <f>MAX((F5+F6),0)</f>
        <v>812.34504669072044</v>
      </c>
      <c r="G8" s="21"/>
      <c r="H8" s="21"/>
      <c r="I8" s="21"/>
      <c r="J8" s="21">
        <f>MAX((J5+J6),0)</f>
        <v>28.250810981663786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0.19552051804606158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38.125824429317859</v>
      </c>
      <c r="C12" s="23">
        <f ca="1">C8*C10</f>
        <v>0</v>
      </c>
      <c r="D12" s="23">
        <f>D8*D10</f>
        <v>610.60841496392845</v>
      </c>
      <c r="E12" s="23">
        <f>E8*E10</f>
        <v>1.3010604619963821</v>
      </c>
      <c r="F12" s="23">
        <f>F8*F10</f>
        <v>216.89612746642237</v>
      </c>
      <c r="G12" s="23"/>
      <c r="H12" s="23"/>
      <c r="I12" s="23"/>
      <c r="J12" s="23">
        <f>J8*J10</f>
        <v>10.00078708750898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2.7670620744631412E-2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79.197331097619767</v>
      </c>
      <c r="C26" s="247">
        <f>B26*'GWP N2O_CH4'!B5</f>
        <v>1663.1439530500152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9.8568012556723907</v>
      </c>
      <c r="C27" s="247">
        <f>B27*'GWP N2O_CH4'!B5</f>
        <v>206.99282636912019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1.094629903616595</v>
      </c>
      <c r="C28" s="247">
        <f>B28*'GWP N2O_CH4'!B4</f>
        <v>339.33527012114445</v>
      </c>
      <c r="D28" s="50"/>
    </row>
    <row r="29" spans="1:4">
      <c r="A29" s="41" t="s">
        <v>277</v>
      </c>
      <c r="B29" s="247">
        <f>B34*'ha_N2O bodem landbouw'!B4</f>
        <v>5.6195699453488279</v>
      </c>
      <c r="C29" s="247">
        <f>B29*'GWP N2O_CH4'!B4</f>
        <v>1742.0666830581367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1.2823664956290385E-3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4.0809081924901265E-4</v>
      </c>
      <c r="C5" s="463" t="s">
        <v>211</v>
      </c>
      <c r="D5" s="448">
        <f>SUM(D6:D11)</f>
        <v>1.6366500663552563E-3</v>
      </c>
      <c r="E5" s="448">
        <f>SUM(E6:E11)</f>
        <v>2.4069077924956809E-3</v>
      </c>
      <c r="F5" s="461" t="s">
        <v>211</v>
      </c>
      <c r="G5" s="448">
        <f>SUM(G6:G11)</f>
        <v>0.73964723858912051</v>
      </c>
      <c r="H5" s="448">
        <f>SUM(H6:H11)</f>
        <v>0.18704959950132272</v>
      </c>
      <c r="I5" s="463" t="s">
        <v>211</v>
      </c>
      <c r="J5" s="463" t="s">
        <v>211</v>
      </c>
      <c r="K5" s="463" t="s">
        <v>211</v>
      </c>
      <c r="L5" s="463" t="s">
        <v>211</v>
      </c>
      <c r="M5" s="448">
        <f>SUM(M6:M11)</f>
        <v>4.8765639310510374E-2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1.6553435790630742E-7</v>
      </c>
      <c r="C6" s="449"/>
      <c r="D6" s="962">
        <f>vkm_2011_GW_PW*SUMIFS(TableVerdeelsleutelVkm[CNG],TableVerdeelsleutelVkm[Voertuigtype],"Lichte voertuigen")*SUMIFS(TableECFTransport[EnergieConsumptieFactor (PJ per km)],TableECFTransport[Index],CONCATENATE($A6,"_CNG_CNG"))</f>
        <v>4.965080656395128E-7</v>
      </c>
      <c r="E6" s="962">
        <f>vkm_2011_GW_PW*SUMIFS(TableVerdeelsleutelVkm[LPG],TableVerdeelsleutelVkm[Voertuigtype],"Lichte voertuigen")*SUMIFS(TableECFTransport[EnergieConsumptieFactor (PJ per km)],TableECFTransport[Index],CONCATENATE($A6,"_LPG_LPG"))</f>
        <v>6.7830133753239961E-7</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1.7537763206928461E-4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5.6462202055682999E-5</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1.1922145369581854E-5</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2.9672363214942403E-5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9.0419515913878044E-9</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1.7339543791811219E-6</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1.6227688783064639E-4</v>
      </c>
      <c r="C8" s="449"/>
      <c r="D8" s="451">
        <f>vkm_2011_NGW_PW*SUMIFS(TableVerdeelsleutelVkm[CNG],TableVerdeelsleutelVkm[Voertuigtype],"Lichte voertuigen")*SUMIFS(TableECFTransport[EnergieConsumptieFactor (PJ per km)],TableECFTransport[Index],CONCATENATE($A8,"_CNG_CNG"))</f>
        <v>8.6542477211257348E-4</v>
      </c>
      <c r="E8" s="451">
        <f>vkm_2011_NGW_PW*SUMIFS(TableVerdeelsleutelVkm[LPG],TableVerdeelsleutelVkm[Voertuigtype],"Lichte voertuigen")*SUMIFS(TableECFTransport[EnergieConsumptieFactor (PJ per km)],TableECFTransport[Index],CONCATENATE($A8,"_LPG_LPG"))</f>
        <v>1.0949389135745909E-3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0.26382018704883514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9.5637720712276039E-2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1.8251980243637667E-2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4.4028699177511552E-2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1.2630668803448337E-5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2.5728676607416155E-3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2.4564839706045998E-4</v>
      </c>
      <c r="C10" s="449"/>
      <c r="D10" s="451">
        <f>vkm_2011_SW_PW*SUMIFS(TableVerdeelsleutelVkm[CNG],TableVerdeelsleutelVkm[Voertuigtype],"Lichte voertuigen")*SUMIFS(TableECFTransport[EnergieConsumptieFactor (PJ per km)],TableECFTransport[Index],CONCATENATE($A10,"_CNG_CNG"))</f>
        <v>7.7072878617704332E-4</v>
      </c>
      <c r="E10" s="451">
        <f>vkm_2011_SW_PW*SUMIFS(TableVerdeelsleutelVkm[LPG],TableVerdeelsleutelVkm[Voertuigtype],"Lichte voertuigen")*SUMIFS(TableECFTransport[EnergieConsumptieFactor (PJ per km)],TableECFTransport[Index],CONCATENATE($A10,"_LPG_LPG"))</f>
        <v>1.3112905775835575E-3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0.30225544912090785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9.1300215543727137E-2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2.0368967207191058E-2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0.12933785324658173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4.2561332508809164E-5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7.5581680991912703E-3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113.35856090250353</v>
      </c>
      <c r="C14" s="21"/>
      <c r="D14" s="21">
        <f t="shared" ref="D14:M14" si="0">((D5)*10^9/3600)+D12</f>
        <v>454.62501843201568</v>
      </c>
      <c r="E14" s="21">
        <f t="shared" si="0"/>
        <v>668.58549791546693</v>
      </c>
      <c r="F14" s="21"/>
      <c r="G14" s="21">
        <f t="shared" si="0"/>
        <v>205457.56627475569</v>
      </c>
      <c r="H14" s="21">
        <f t="shared" si="0"/>
        <v>51958.222083700755</v>
      </c>
      <c r="I14" s="21"/>
      <c r="J14" s="21"/>
      <c r="K14" s="21"/>
      <c r="L14" s="21"/>
      <c r="M14" s="21">
        <f t="shared" si="0"/>
        <v>13546.010919586215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0.19552051804606158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22.163924552613512</v>
      </c>
      <c r="C18" s="23"/>
      <c r="D18" s="23">
        <f t="shared" ref="D18:M18" si="1">D14*D16</f>
        <v>91.834253723267167</v>
      </c>
      <c r="E18" s="23">
        <f t="shared" si="1"/>
        <v>151.768908026811</v>
      </c>
      <c r="F18" s="23"/>
      <c r="G18" s="23">
        <f t="shared" si="1"/>
        <v>54857.170195359773</v>
      </c>
      <c r="H18" s="23">
        <f t="shared" si="1"/>
        <v>12937.597298841489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9.6227842112180557E-3</v>
      </c>
      <c r="H50" s="321">
        <f t="shared" si="2"/>
        <v>0</v>
      </c>
      <c r="I50" s="321">
        <f t="shared" si="2"/>
        <v>0</v>
      </c>
      <c r="J50" s="321">
        <f t="shared" si="2"/>
        <v>0</v>
      </c>
      <c r="K50" s="321">
        <f t="shared" si="2"/>
        <v>0</v>
      </c>
      <c r="L50" s="321">
        <f t="shared" si="2"/>
        <v>0</v>
      </c>
      <c r="M50" s="321">
        <f t="shared" si="2"/>
        <v>5.4653166268125292E-4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9.6227842112180557E-3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5.4653166268125292E-4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2672.9956142272376</v>
      </c>
      <c r="H54" s="21">
        <f t="shared" si="3"/>
        <v>0</v>
      </c>
      <c r="I54" s="21">
        <f t="shared" si="3"/>
        <v>0</v>
      </c>
      <c r="J54" s="21">
        <f t="shared" si="3"/>
        <v>0</v>
      </c>
      <c r="K54" s="21">
        <f t="shared" si="3"/>
        <v>0</v>
      </c>
      <c r="L54" s="21">
        <f t="shared" si="3"/>
        <v>0</v>
      </c>
      <c r="M54" s="21">
        <f t="shared" si="3"/>
        <v>151.81435074479248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0.19552051804606158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713.68982899867251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6889.4141862719916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4544.5103914945921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11433.924577766584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37630.04819512496</v>
      </c>
      <c r="D10" s="718">
        <f ca="1">tertiair!C16</f>
        <v>0</v>
      </c>
      <c r="E10" s="718">
        <f ca="1">tertiair!D16</f>
        <v>40022.665459181648</v>
      </c>
      <c r="F10" s="718">
        <f>tertiair!E16</f>
        <v>511.91245292126303</v>
      </c>
      <c r="G10" s="718">
        <f ca="1">tertiair!F16</f>
        <v>6141.2931791646388</v>
      </c>
      <c r="H10" s="718">
        <f>tertiair!G16</f>
        <v>0</v>
      </c>
      <c r="I10" s="718">
        <f>tertiair!H16</f>
        <v>0</v>
      </c>
      <c r="J10" s="718">
        <f>tertiair!I16</f>
        <v>0</v>
      </c>
      <c r="K10" s="718">
        <f>tertiair!J16</f>
        <v>7.8520550782364432E-2</v>
      </c>
      <c r="L10" s="718">
        <f>tertiair!K16</f>
        <v>0</v>
      </c>
      <c r="M10" s="718">
        <f ca="1">tertiair!L16</f>
        <v>0</v>
      </c>
      <c r="N10" s="718">
        <f>tertiair!M16</f>
        <v>0</v>
      </c>
      <c r="O10" s="718">
        <f ca="1">tertiair!N16</f>
        <v>3150.2019811359064</v>
      </c>
      <c r="P10" s="718">
        <f>tertiair!O16</f>
        <v>1.5633333333333335</v>
      </c>
      <c r="Q10" s="719">
        <f>tertiair!P16</f>
        <v>38.133333333333333</v>
      </c>
      <c r="R10" s="721">
        <f ca="1">SUM(C10:Q10)</f>
        <v>87495.89645474586</v>
      </c>
      <c r="S10" s="67"/>
    </row>
    <row r="11" spans="1:19" s="474" customFormat="1">
      <c r="A11" s="870" t="s">
        <v>225</v>
      </c>
      <c r="B11" s="875"/>
      <c r="C11" s="718">
        <f>huishoudens!B8</f>
        <v>42231.147799268976</v>
      </c>
      <c r="D11" s="718">
        <f>huishoudens!C8</f>
        <v>0</v>
      </c>
      <c r="E11" s="718">
        <f>huishoudens!D8</f>
        <v>121112.77397880623</v>
      </c>
      <c r="F11" s="718">
        <f>huishoudens!E8</f>
        <v>3180.9077342883834</v>
      </c>
      <c r="G11" s="718">
        <f>huishoudens!F8</f>
        <v>26563.970922836728</v>
      </c>
      <c r="H11" s="718">
        <f>huishoudens!G8</f>
        <v>0</v>
      </c>
      <c r="I11" s="718">
        <f>huishoudens!H8</f>
        <v>0</v>
      </c>
      <c r="J11" s="718">
        <f>huishoudens!I8</f>
        <v>0</v>
      </c>
      <c r="K11" s="718">
        <f>huishoudens!J8</f>
        <v>0</v>
      </c>
      <c r="L11" s="718">
        <f>huishoudens!K8</f>
        <v>0</v>
      </c>
      <c r="M11" s="718">
        <f>huishoudens!L8</f>
        <v>0</v>
      </c>
      <c r="N11" s="718">
        <f>huishoudens!M8</f>
        <v>0</v>
      </c>
      <c r="O11" s="718">
        <f>huishoudens!N8</f>
        <v>11625.894274669066</v>
      </c>
      <c r="P11" s="718">
        <f>huishoudens!O8</f>
        <v>220.43000000000004</v>
      </c>
      <c r="Q11" s="719">
        <f>huishoudens!P8</f>
        <v>705.4666666666667</v>
      </c>
      <c r="R11" s="721">
        <f>SUM(C11:Q11)</f>
        <v>205640.59137653606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19004.260062484289</v>
      </c>
      <c r="D13" s="718">
        <f>industrie!C18</f>
        <v>0</v>
      </c>
      <c r="E13" s="718">
        <f>industrie!D18</f>
        <v>26176.424373870454</v>
      </c>
      <c r="F13" s="718">
        <f>industrie!E18</f>
        <v>1233.022572531178</v>
      </c>
      <c r="G13" s="718">
        <f>industrie!F18</f>
        <v>4170.7204138504494</v>
      </c>
      <c r="H13" s="718">
        <f>industrie!G18</f>
        <v>0</v>
      </c>
      <c r="I13" s="718">
        <f>industrie!H18</f>
        <v>0</v>
      </c>
      <c r="J13" s="718">
        <f>industrie!I18</f>
        <v>0</v>
      </c>
      <c r="K13" s="718">
        <f>industrie!J18</f>
        <v>57.384855076472128</v>
      </c>
      <c r="L13" s="718">
        <f>industrie!K18</f>
        <v>0</v>
      </c>
      <c r="M13" s="718">
        <f>industrie!L18</f>
        <v>0</v>
      </c>
      <c r="N13" s="718">
        <f>industrie!M18</f>
        <v>0</v>
      </c>
      <c r="O13" s="718">
        <f>industrie!N18</f>
        <v>9005.7915695728625</v>
      </c>
      <c r="P13" s="718">
        <f>industrie!O18</f>
        <v>0</v>
      </c>
      <c r="Q13" s="719">
        <f>industrie!P18</f>
        <v>0</v>
      </c>
      <c r="R13" s="721">
        <f>SUM(C13:Q13)</f>
        <v>59647.603847385704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98865.456056878218</v>
      </c>
      <c r="D15" s="723">
        <f t="shared" ref="D15:Q15" ca="1" si="0">SUM(D9:D14)</f>
        <v>0</v>
      </c>
      <c r="E15" s="723">
        <f t="shared" ca="1" si="0"/>
        <v>187311.86381185832</v>
      </c>
      <c r="F15" s="723">
        <f t="shared" si="0"/>
        <v>4925.8427597408245</v>
      </c>
      <c r="G15" s="723">
        <f t="shared" ca="1" si="0"/>
        <v>36875.984515851815</v>
      </c>
      <c r="H15" s="723">
        <f t="shared" si="0"/>
        <v>0</v>
      </c>
      <c r="I15" s="723">
        <f t="shared" si="0"/>
        <v>0</v>
      </c>
      <c r="J15" s="723">
        <f t="shared" si="0"/>
        <v>0</v>
      </c>
      <c r="K15" s="723">
        <f t="shared" si="0"/>
        <v>57.463375627254493</v>
      </c>
      <c r="L15" s="723">
        <f t="shared" si="0"/>
        <v>0</v>
      </c>
      <c r="M15" s="723">
        <f t="shared" ca="1" si="0"/>
        <v>0</v>
      </c>
      <c r="N15" s="723">
        <f t="shared" si="0"/>
        <v>0</v>
      </c>
      <c r="O15" s="723">
        <f t="shared" ca="1" si="0"/>
        <v>23781.887825377835</v>
      </c>
      <c r="P15" s="723">
        <f t="shared" si="0"/>
        <v>221.99333333333337</v>
      </c>
      <c r="Q15" s="724">
        <f t="shared" si="0"/>
        <v>743.6</v>
      </c>
      <c r="R15" s="725">
        <f ca="1">SUM(R9:R14)</f>
        <v>352784.09167866758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2672.9956142272376</v>
      </c>
      <c r="I18" s="718">
        <f>transport!H54</f>
        <v>0</v>
      </c>
      <c r="J18" s="718">
        <f>transport!I54</f>
        <v>0</v>
      </c>
      <c r="K18" s="718">
        <f>transport!J54</f>
        <v>0</v>
      </c>
      <c r="L18" s="718">
        <f>transport!K54</f>
        <v>0</v>
      </c>
      <c r="M18" s="718">
        <f>transport!L54</f>
        <v>0</v>
      </c>
      <c r="N18" s="718">
        <f>transport!M54</f>
        <v>151.81435074479248</v>
      </c>
      <c r="O18" s="718">
        <f>transport!N54</f>
        <v>0</v>
      </c>
      <c r="P18" s="718">
        <f>transport!O54</f>
        <v>0</v>
      </c>
      <c r="Q18" s="719">
        <f>transport!P54</f>
        <v>0</v>
      </c>
      <c r="R18" s="721">
        <f>SUM(C18:Q18)</f>
        <v>2824.8099649720302</v>
      </c>
      <c r="S18" s="67"/>
    </row>
    <row r="19" spans="1:19" s="474" customFormat="1" ht="15" thickBot="1">
      <c r="A19" s="870" t="s">
        <v>307</v>
      </c>
      <c r="B19" s="875"/>
      <c r="C19" s="727">
        <f>transport!B14</f>
        <v>113.35856090250353</v>
      </c>
      <c r="D19" s="727">
        <f>transport!C14</f>
        <v>0</v>
      </c>
      <c r="E19" s="727">
        <f>transport!D14</f>
        <v>454.62501843201568</v>
      </c>
      <c r="F19" s="727">
        <f>transport!E14</f>
        <v>668.58549791546693</v>
      </c>
      <c r="G19" s="727">
        <f>transport!F14</f>
        <v>0</v>
      </c>
      <c r="H19" s="727">
        <f>transport!G14</f>
        <v>205457.56627475569</v>
      </c>
      <c r="I19" s="727">
        <f>transport!H14</f>
        <v>51958.222083700755</v>
      </c>
      <c r="J19" s="727">
        <f>transport!I14</f>
        <v>0</v>
      </c>
      <c r="K19" s="727">
        <f>transport!J14</f>
        <v>0</v>
      </c>
      <c r="L19" s="727">
        <f>transport!K14</f>
        <v>0</v>
      </c>
      <c r="M19" s="727">
        <f>transport!L14</f>
        <v>0</v>
      </c>
      <c r="N19" s="727">
        <f>transport!M14</f>
        <v>13546.010919586215</v>
      </c>
      <c r="O19" s="727">
        <f>transport!N14</f>
        <v>0</v>
      </c>
      <c r="P19" s="727">
        <f>transport!O14</f>
        <v>0</v>
      </c>
      <c r="Q19" s="728">
        <f>transport!P14</f>
        <v>0</v>
      </c>
      <c r="R19" s="729">
        <f>SUM(C19:Q19)</f>
        <v>272198.36835529265</v>
      </c>
      <c r="S19" s="67"/>
    </row>
    <row r="20" spans="1:19" s="474" customFormat="1" ht="15.75" thickBot="1">
      <c r="A20" s="730" t="s">
        <v>230</v>
      </c>
      <c r="B20" s="878"/>
      <c r="C20" s="873">
        <f>SUM(C17:C19)</f>
        <v>113.35856090250353</v>
      </c>
      <c r="D20" s="731">
        <f t="shared" ref="D20:R20" si="1">SUM(D17:D19)</f>
        <v>0</v>
      </c>
      <c r="E20" s="731">
        <f t="shared" si="1"/>
        <v>454.62501843201568</v>
      </c>
      <c r="F20" s="731">
        <f t="shared" si="1"/>
        <v>668.58549791546693</v>
      </c>
      <c r="G20" s="731">
        <f t="shared" si="1"/>
        <v>0</v>
      </c>
      <c r="H20" s="731">
        <f t="shared" si="1"/>
        <v>208130.56188898292</v>
      </c>
      <c r="I20" s="731">
        <f t="shared" si="1"/>
        <v>51958.222083700755</v>
      </c>
      <c r="J20" s="731">
        <f t="shared" si="1"/>
        <v>0</v>
      </c>
      <c r="K20" s="731">
        <f t="shared" si="1"/>
        <v>0</v>
      </c>
      <c r="L20" s="731">
        <f t="shared" si="1"/>
        <v>0</v>
      </c>
      <c r="M20" s="731">
        <f t="shared" si="1"/>
        <v>0</v>
      </c>
      <c r="N20" s="731">
        <f t="shared" si="1"/>
        <v>13697.825270331008</v>
      </c>
      <c r="O20" s="731">
        <f t="shared" si="1"/>
        <v>0</v>
      </c>
      <c r="P20" s="731">
        <f t="shared" si="1"/>
        <v>0</v>
      </c>
      <c r="Q20" s="732">
        <f t="shared" si="1"/>
        <v>0</v>
      </c>
      <c r="R20" s="733">
        <f t="shared" si="1"/>
        <v>275023.17832026468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194.99653954648389</v>
      </c>
      <c r="D22" s="727">
        <f>+landbouw!C8</f>
        <v>0</v>
      </c>
      <c r="E22" s="727">
        <f>+landbouw!D8</f>
        <v>3022.813935464992</v>
      </c>
      <c r="F22" s="727">
        <f>+landbouw!E8</f>
        <v>5.7315438854466176</v>
      </c>
      <c r="G22" s="727">
        <f>+landbouw!F8</f>
        <v>812.34504669072044</v>
      </c>
      <c r="H22" s="727">
        <f>+landbouw!G8</f>
        <v>0</v>
      </c>
      <c r="I22" s="727">
        <f>+landbouw!H8</f>
        <v>0</v>
      </c>
      <c r="J22" s="727">
        <f>+landbouw!I8</f>
        <v>0</v>
      </c>
      <c r="K22" s="727">
        <f>+landbouw!J8</f>
        <v>28.250810981663786</v>
      </c>
      <c r="L22" s="727">
        <f>+landbouw!K8</f>
        <v>0</v>
      </c>
      <c r="M22" s="727">
        <f>+landbouw!L8</f>
        <v>0</v>
      </c>
      <c r="N22" s="727">
        <f>+landbouw!M8</f>
        <v>0</v>
      </c>
      <c r="O22" s="727">
        <f>+landbouw!N8</f>
        <v>0</v>
      </c>
      <c r="P22" s="727">
        <f>+landbouw!O8</f>
        <v>0</v>
      </c>
      <c r="Q22" s="728">
        <f>+landbouw!P8</f>
        <v>0</v>
      </c>
      <c r="R22" s="729">
        <f>SUM(C22:Q22)</f>
        <v>4064.1378765693062</v>
      </c>
      <c r="S22" s="67"/>
    </row>
    <row r="23" spans="1:19" s="474" customFormat="1" ht="17.25" thickTop="1" thickBot="1">
      <c r="A23" s="734" t="s">
        <v>116</v>
      </c>
      <c r="B23" s="864"/>
      <c r="C23" s="735">
        <f ca="1">C20+C15+C22</f>
        <v>99173.811157327204</v>
      </c>
      <c r="D23" s="735">
        <f t="shared" ref="D23:Q23" ca="1" si="2">D20+D15+D22</f>
        <v>0</v>
      </c>
      <c r="E23" s="735">
        <f t="shared" ca="1" si="2"/>
        <v>190789.30276575533</v>
      </c>
      <c r="F23" s="735">
        <f t="shared" si="2"/>
        <v>5600.1598015417376</v>
      </c>
      <c r="G23" s="735">
        <f t="shared" ca="1" si="2"/>
        <v>37688.329562542538</v>
      </c>
      <c r="H23" s="735">
        <f t="shared" si="2"/>
        <v>208130.56188898292</v>
      </c>
      <c r="I23" s="735">
        <f t="shared" si="2"/>
        <v>51958.222083700755</v>
      </c>
      <c r="J23" s="735">
        <f t="shared" si="2"/>
        <v>0</v>
      </c>
      <c r="K23" s="735">
        <f t="shared" si="2"/>
        <v>85.714186608918283</v>
      </c>
      <c r="L23" s="735">
        <f t="shared" si="2"/>
        <v>0</v>
      </c>
      <c r="M23" s="735">
        <f t="shared" ca="1" si="2"/>
        <v>0</v>
      </c>
      <c r="N23" s="735">
        <f t="shared" si="2"/>
        <v>13697.825270331008</v>
      </c>
      <c r="O23" s="735">
        <f t="shared" ca="1" si="2"/>
        <v>23781.887825377835</v>
      </c>
      <c r="P23" s="735">
        <f t="shared" si="2"/>
        <v>221.99333333333337</v>
      </c>
      <c r="Q23" s="736">
        <f t="shared" si="2"/>
        <v>743.6</v>
      </c>
      <c r="R23" s="737">
        <f ca="1">R20+R15+R22</f>
        <v>631871.40787550155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7357.4465172090968</v>
      </c>
      <c r="D36" s="718">
        <f ca="1">tertiair!C20</f>
        <v>0</v>
      </c>
      <c r="E36" s="718">
        <f ca="1">tertiair!D20</f>
        <v>8084.5784227546937</v>
      </c>
      <c r="F36" s="718">
        <f>tertiair!E20</f>
        <v>116.20412681312671</v>
      </c>
      <c r="G36" s="718">
        <f ca="1">tertiair!F20</f>
        <v>1639.7252788369588</v>
      </c>
      <c r="H36" s="718">
        <f>tertiair!G20</f>
        <v>0</v>
      </c>
      <c r="I36" s="718">
        <f>tertiair!H20</f>
        <v>0</v>
      </c>
      <c r="J36" s="718">
        <f>tertiair!I20</f>
        <v>0</v>
      </c>
      <c r="K36" s="718">
        <f>tertiair!J20</f>
        <v>2.7796274976957008E-2</v>
      </c>
      <c r="L36" s="718">
        <f>tertiair!K20</f>
        <v>0</v>
      </c>
      <c r="M36" s="718">
        <f ca="1">tertiair!L20</f>
        <v>0</v>
      </c>
      <c r="N36" s="718">
        <f>tertiair!M20</f>
        <v>0</v>
      </c>
      <c r="O36" s="718">
        <f ca="1">tertiair!N20</f>
        <v>0</v>
      </c>
      <c r="P36" s="718">
        <f>tertiair!O20</f>
        <v>0</v>
      </c>
      <c r="Q36" s="828">
        <f>tertiair!P20</f>
        <v>0</v>
      </c>
      <c r="R36" s="917">
        <f ca="1">SUM(C36:Q36)</f>
        <v>17197.982141888857</v>
      </c>
    </row>
    <row r="37" spans="1:18">
      <c r="A37" s="885" t="s">
        <v>225</v>
      </c>
      <c r="B37" s="892"/>
      <c r="C37" s="718">
        <f ca="1">huishoudens!B12</f>
        <v>8257.055895392863</v>
      </c>
      <c r="D37" s="718">
        <f ca="1">huishoudens!C12</f>
        <v>0</v>
      </c>
      <c r="E37" s="718">
        <f>huishoudens!D12</f>
        <v>24464.78034371886</v>
      </c>
      <c r="F37" s="718">
        <f>huishoudens!E12</f>
        <v>722.06605568346311</v>
      </c>
      <c r="G37" s="718">
        <f>huishoudens!F12</f>
        <v>7092.5802363974071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40536.482531192596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3715.7227724990066</v>
      </c>
      <c r="D39" s="718">
        <f ca="1">industrie!C22</f>
        <v>0</v>
      </c>
      <c r="E39" s="718">
        <f>industrie!D22</f>
        <v>5287.6377235218315</v>
      </c>
      <c r="F39" s="718">
        <f>industrie!E22</f>
        <v>279.89612396457738</v>
      </c>
      <c r="G39" s="718">
        <f>industrie!F22</f>
        <v>1113.5823504980701</v>
      </c>
      <c r="H39" s="718">
        <f>industrie!G22</f>
        <v>0</v>
      </c>
      <c r="I39" s="718">
        <f>industrie!H22</f>
        <v>0</v>
      </c>
      <c r="J39" s="718">
        <f>industrie!I22</f>
        <v>0</v>
      </c>
      <c r="K39" s="718">
        <f>industrie!J22</f>
        <v>20.314238697071133</v>
      </c>
      <c r="L39" s="718">
        <f>industrie!K22</f>
        <v>0</v>
      </c>
      <c r="M39" s="718">
        <f>industrie!L22</f>
        <v>0</v>
      </c>
      <c r="N39" s="718">
        <f>industrie!M22</f>
        <v>0</v>
      </c>
      <c r="O39" s="718">
        <f>industrie!N22</f>
        <v>0</v>
      </c>
      <c r="P39" s="718">
        <f>industrie!O22</f>
        <v>0</v>
      </c>
      <c r="Q39" s="828">
        <f>industrie!P22</f>
        <v>0</v>
      </c>
      <c r="R39" s="918">
        <f ca="1">SUM(C39:Q39)</f>
        <v>10417.153209180557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19330.225185100968</v>
      </c>
      <c r="D41" s="763">
        <f t="shared" ref="D41:R41" ca="1" si="4">SUM(D35:D40)</f>
        <v>0</v>
      </c>
      <c r="E41" s="763">
        <f t="shared" ca="1" si="4"/>
        <v>37836.996489995385</v>
      </c>
      <c r="F41" s="763">
        <f t="shared" si="4"/>
        <v>1118.1663064611671</v>
      </c>
      <c r="G41" s="763">
        <f t="shared" ca="1" si="4"/>
        <v>9845.8878657324367</v>
      </c>
      <c r="H41" s="763">
        <f t="shared" si="4"/>
        <v>0</v>
      </c>
      <c r="I41" s="763">
        <f t="shared" si="4"/>
        <v>0</v>
      </c>
      <c r="J41" s="763">
        <f t="shared" si="4"/>
        <v>0</v>
      </c>
      <c r="K41" s="763">
        <f t="shared" si="4"/>
        <v>20.34203497204809</v>
      </c>
      <c r="L41" s="763">
        <f t="shared" si="4"/>
        <v>0</v>
      </c>
      <c r="M41" s="763">
        <f t="shared" ca="1" si="4"/>
        <v>0</v>
      </c>
      <c r="N41" s="763">
        <f t="shared" si="4"/>
        <v>0</v>
      </c>
      <c r="O41" s="763">
        <f t="shared" ca="1" si="4"/>
        <v>0</v>
      </c>
      <c r="P41" s="763">
        <f t="shared" si="4"/>
        <v>0</v>
      </c>
      <c r="Q41" s="764">
        <f t="shared" si="4"/>
        <v>0</v>
      </c>
      <c r="R41" s="765">
        <f t="shared" ca="1" si="4"/>
        <v>68151.617882262013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713.68982899867251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713.68982899867251</v>
      </c>
    </row>
    <row r="45" spans="1:18" ht="15" thickBot="1">
      <c r="A45" s="888" t="s">
        <v>307</v>
      </c>
      <c r="B45" s="898"/>
      <c r="C45" s="727">
        <f ca="1">transport!B18</f>
        <v>22.163924552613512</v>
      </c>
      <c r="D45" s="727">
        <f>transport!C18</f>
        <v>0</v>
      </c>
      <c r="E45" s="727">
        <f>transport!D18</f>
        <v>91.834253723267167</v>
      </c>
      <c r="F45" s="727">
        <f>transport!E18</f>
        <v>151.768908026811</v>
      </c>
      <c r="G45" s="727">
        <f>transport!F18</f>
        <v>0</v>
      </c>
      <c r="H45" s="727">
        <f>transport!G18</f>
        <v>54857.170195359773</v>
      </c>
      <c r="I45" s="727">
        <f>transport!H18</f>
        <v>12937.597298841489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68060.534580503954</v>
      </c>
    </row>
    <row r="46" spans="1:18" ht="15.75" thickBot="1">
      <c r="A46" s="886" t="s">
        <v>230</v>
      </c>
      <c r="B46" s="899"/>
      <c r="C46" s="763">
        <f t="shared" ref="C46:R46" ca="1" si="5">SUM(C43:C45)</f>
        <v>22.163924552613512</v>
      </c>
      <c r="D46" s="763">
        <f t="shared" ca="1" si="5"/>
        <v>0</v>
      </c>
      <c r="E46" s="763">
        <f t="shared" si="5"/>
        <v>91.834253723267167</v>
      </c>
      <c r="F46" s="763">
        <f t="shared" si="5"/>
        <v>151.768908026811</v>
      </c>
      <c r="G46" s="763">
        <f t="shared" si="5"/>
        <v>0</v>
      </c>
      <c r="H46" s="763">
        <f t="shared" si="5"/>
        <v>55570.860024358444</v>
      </c>
      <c r="I46" s="763">
        <f t="shared" si="5"/>
        <v>12937.597298841489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68774.224409502625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38.125824429317859</v>
      </c>
      <c r="D48" s="718">
        <f ca="1">+landbouw!C12</f>
        <v>0</v>
      </c>
      <c r="E48" s="718">
        <f>+landbouw!D12</f>
        <v>610.60841496392845</v>
      </c>
      <c r="F48" s="718">
        <f>+landbouw!E12</f>
        <v>1.3010604619963821</v>
      </c>
      <c r="G48" s="718">
        <f>+landbouw!F12</f>
        <v>216.89612746642237</v>
      </c>
      <c r="H48" s="718">
        <f>+landbouw!G12</f>
        <v>0</v>
      </c>
      <c r="I48" s="718">
        <f>+landbouw!H12</f>
        <v>0</v>
      </c>
      <c r="J48" s="718">
        <f>+landbouw!I12</f>
        <v>0</v>
      </c>
      <c r="K48" s="718">
        <f>+landbouw!J12</f>
        <v>10.00078708750898</v>
      </c>
      <c r="L48" s="718">
        <f>+landbouw!K12</f>
        <v>0</v>
      </c>
      <c r="M48" s="718">
        <f>+landbouw!L12</f>
        <v>0</v>
      </c>
      <c r="N48" s="718">
        <f>+landbouw!M12</f>
        <v>0</v>
      </c>
      <c r="O48" s="718">
        <f>+landbouw!N12</f>
        <v>0</v>
      </c>
      <c r="P48" s="718">
        <f>+landbouw!O12</f>
        <v>0</v>
      </c>
      <c r="Q48" s="719">
        <f>+landbouw!P12</f>
        <v>0</v>
      </c>
      <c r="R48" s="761">
        <f ca="1">SUM(C48:Q48)</f>
        <v>876.93221440917409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19390.514934082898</v>
      </c>
      <c r="D53" s="773">
        <f t="shared" ref="D53:Q53" ca="1" si="6">D41+D46+D48</f>
        <v>0</v>
      </c>
      <c r="E53" s="773">
        <f t="shared" ca="1" si="6"/>
        <v>38539.43915868258</v>
      </c>
      <c r="F53" s="773">
        <f t="shared" si="6"/>
        <v>1271.2362749499746</v>
      </c>
      <c r="G53" s="773">
        <f t="shared" ca="1" si="6"/>
        <v>10062.783993198858</v>
      </c>
      <c r="H53" s="773">
        <f t="shared" si="6"/>
        <v>55570.860024358444</v>
      </c>
      <c r="I53" s="773">
        <f t="shared" si="6"/>
        <v>12937.597298841489</v>
      </c>
      <c r="J53" s="773">
        <f t="shared" si="6"/>
        <v>0</v>
      </c>
      <c r="K53" s="773">
        <f t="shared" si="6"/>
        <v>30.342822059557072</v>
      </c>
      <c r="L53" s="773">
        <f t="shared" si="6"/>
        <v>0</v>
      </c>
      <c r="M53" s="773">
        <f t="shared" ca="1" si="6"/>
        <v>0</v>
      </c>
      <c r="N53" s="773">
        <f t="shared" si="6"/>
        <v>0</v>
      </c>
      <c r="O53" s="773">
        <f t="shared" ca="1" si="6"/>
        <v>0</v>
      </c>
      <c r="P53" s="773">
        <f>P41+P46+P48</f>
        <v>0</v>
      </c>
      <c r="Q53" s="774">
        <f t="shared" si="6"/>
        <v>0</v>
      </c>
      <c r="R53" s="775">
        <f ca="1">R41+R46+R48</f>
        <v>137802.7745061738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0.19552051804606158</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6889.4141862719916</v>
      </c>
      <c r="C64" s="795">
        <f>'lokale energieproductie'!B4</f>
        <v>6889.4141862719916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4544.5103914945921</v>
      </c>
      <c r="C66" s="795">
        <f>'lokale energieproductie'!B6</f>
        <v>4544.5103914945921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11433.924577766584</v>
      </c>
      <c r="C69" s="803">
        <f>SUM(C64:C68)</f>
        <v>11433.924577766584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42231.147799268976</v>
      </c>
      <c r="C4" s="478">
        <f>huishoudens!C8</f>
        <v>0</v>
      </c>
      <c r="D4" s="478">
        <f>huishoudens!D8</f>
        <v>121112.77397880623</v>
      </c>
      <c r="E4" s="478">
        <f>huishoudens!E8</f>
        <v>3180.9077342883834</v>
      </c>
      <c r="F4" s="478">
        <f>huishoudens!F8</f>
        <v>26563.970922836728</v>
      </c>
      <c r="G4" s="478">
        <f>huishoudens!G8</f>
        <v>0</v>
      </c>
      <c r="H4" s="478">
        <f>huishoudens!H8</f>
        <v>0</v>
      </c>
      <c r="I4" s="478">
        <f>huishoudens!I8</f>
        <v>0</v>
      </c>
      <c r="J4" s="478">
        <f>huishoudens!J8</f>
        <v>0</v>
      </c>
      <c r="K4" s="478">
        <f>huishoudens!K8</f>
        <v>0</v>
      </c>
      <c r="L4" s="478">
        <f>huishoudens!L8</f>
        <v>0</v>
      </c>
      <c r="M4" s="478">
        <f>huishoudens!M8</f>
        <v>0</v>
      </c>
      <c r="N4" s="478">
        <f>huishoudens!N8</f>
        <v>11625.894274669066</v>
      </c>
      <c r="O4" s="478">
        <f>huishoudens!O8</f>
        <v>220.43000000000004</v>
      </c>
      <c r="P4" s="479">
        <f>huishoudens!P8</f>
        <v>705.4666666666667</v>
      </c>
      <c r="Q4" s="480">
        <f>SUM(B4:P4)</f>
        <v>205640.59137653606</v>
      </c>
    </row>
    <row r="5" spans="1:17">
      <c r="A5" s="477" t="s">
        <v>156</v>
      </c>
      <c r="B5" s="478">
        <f ca="1">tertiair!B16</f>
        <v>35561.275195124959</v>
      </c>
      <c r="C5" s="478">
        <f ca="1">tertiair!C16</f>
        <v>0</v>
      </c>
      <c r="D5" s="478">
        <f ca="1">tertiair!D16</f>
        <v>40022.665459181648</v>
      </c>
      <c r="E5" s="478">
        <f>tertiair!E16</f>
        <v>511.91245292126303</v>
      </c>
      <c r="F5" s="478">
        <f ca="1">tertiair!F16</f>
        <v>6141.2931791646388</v>
      </c>
      <c r="G5" s="478">
        <f>tertiair!G16</f>
        <v>0</v>
      </c>
      <c r="H5" s="478">
        <f>tertiair!H16</f>
        <v>0</v>
      </c>
      <c r="I5" s="478">
        <f>tertiair!I16</f>
        <v>0</v>
      </c>
      <c r="J5" s="478">
        <f>tertiair!J16</f>
        <v>7.8520550782364432E-2</v>
      </c>
      <c r="K5" s="478">
        <f>tertiair!K16</f>
        <v>0</v>
      </c>
      <c r="L5" s="478">
        <f ca="1">tertiair!L16</f>
        <v>0</v>
      </c>
      <c r="M5" s="478">
        <f>tertiair!M16</f>
        <v>0</v>
      </c>
      <c r="N5" s="478">
        <f ca="1">tertiair!N16</f>
        <v>3150.2019811359064</v>
      </c>
      <c r="O5" s="478">
        <f>tertiair!O16</f>
        <v>1.5633333333333335</v>
      </c>
      <c r="P5" s="479">
        <f>tertiair!P16</f>
        <v>38.133333333333333</v>
      </c>
      <c r="Q5" s="477">
        <f t="shared" ref="Q5:Q13" ca="1" si="0">SUM(B5:P5)</f>
        <v>85427.123454745873</v>
      </c>
    </row>
    <row r="6" spans="1:17">
      <c r="A6" s="477" t="s">
        <v>194</v>
      </c>
      <c r="B6" s="478">
        <f>'openbare verlichting'!B8</f>
        <v>2068.7730000000001</v>
      </c>
      <c r="C6" s="478"/>
      <c r="D6" s="478"/>
      <c r="E6" s="478"/>
      <c r="F6" s="478"/>
      <c r="G6" s="478"/>
      <c r="H6" s="478"/>
      <c r="I6" s="478"/>
      <c r="J6" s="478"/>
      <c r="K6" s="478"/>
      <c r="L6" s="478"/>
      <c r="M6" s="478"/>
      <c r="N6" s="478"/>
      <c r="O6" s="478"/>
      <c r="P6" s="479"/>
      <c r="Q6" s="477">
        <f t="shared" si="0"/>
        <v>2068.7730000000001</v>
      </c>
    </row>
    <row r="7" spans="1:17">
      <c r="A7" s="477" t="s">
        <v>112</v>
      </c>
      <c r="B7" s="478">
        <f>landbouw!B8</f>
        <v>194.99653954648389</v>
      </c>
      <c r="C7" s="478">
        <f>landbouw!C8</f>
        <v>0</v>
      </c>
      <c r="D7" s="478">
        <f>landbouw!D8</f>
        <v>3022.813935464992</v>
      </c>
      <c r="E7" s="478">
        <f>landbouw!E8</f>
        <v>5.7315438854466176</v>
      </c>
      <c r="F7" s="478">
        <f>landbouw!F8</f>
        <v>812.34504669072044</v>
      </c>
      <c r="G7" s="478">
        <f>landbouw!G8</f>
        <v>0</v>
      </c>
      <c r="H7" s="478">
        <f>landbouw!H8</f>
        <v>0</v>
      </c>
      <c r="I7" s="478">
        <f>landbouw!I8</f>
        <v>0</v>
      </c>
      <c r="J7" s="478">
        <f>landbouw!J8</f>
        <v>28.250810981663786</v>
      </c>
      <c r="K7" s="478">
        <f>landbouw!K8</f>
        <v>0</v>
      </c>
      <c r="L7" s="478">
        <f>landbouw!L8</f>
        <v>0</v>
      </c>
      <c r="M7" s="478">
        <f>landbouw!M8</f>
        <v>0</v>
      </c>
      <c r="N7" s="478">
        <f>landbouw!N8</f>
        <v>0</v>
      </c>
      <c r="O7" s="478">
        <f>landbouw!O8</f>
        <v>0</v>
      </c>
      <c r="P7" s="479">
        <f>landbouw!P8</f>
        <v>0</v>
      </c>
      <c r="Q7" s="477">
        <f t="shared" si="0"/>
        <v>4064.1378765693062</v>
      </c>
    </row>
    <row r="8" spans="1:17">
      <c r="A8" s="477" t="s">
        <v>635</v>
      </c>
      <c r="B8" s="478">
        <f>industrie!B18</f>
        <v>19004.260062484289</v>
      </c>
      <c r="C8" s="478">
        <f>industrie!C18</f>
        <v>0</v>
      </c>
      <c r="D8" s="478">
        <f>industrie!D18</f>
        <v>26176.424373870454</v>
      </c>
      <c r="E8" s="478">
        <f>industrie!E18</f>
        <v>1233.022572531178</v>
      </c>
      <c r="F8" s="478">
        <f>industrie!F18</f>
        <v>4170.7204138504494</v>
      </c>
      <c r="G8" s="478">
        <f>industrie!G18</f>
        <v>0</v>
      </c>
      <c r="H8" s="478">
        <f>industrie!H18</f>
        <v>0</v>
      </c>
      <c r="I8" s="478">
        <f>industrie!I18</f>
        <v>0</v>
      </c>
      <c r="J8" s="478">
        <f>industrie!J18</f>
        <v>57.384855076472128</v>
      </c>
      <c r="K8" s="478">
        <f>industrie!K18</f>
        <v>0</v>
      </c>
      <c r="L8" s="478">
        <f>industrie!L18</f>
        <v>0</v>
      </c>
      <c r="M8" s="478">
        <f>industrie!M18</f>
        <v>0</v>
      </c>
      <c r="N8" s="478">
        <f>industrie!N18</f>
        <v>9005.7915695728625</v>
      </c>
      <c r="O8" s="478">
        <f>industrie!O18</f>
        <v>0</v>
      </c>
      <c r="P8" s="479">
        <f>industrie!P18</f>
        <v>0</v>
      </c>
      <c r="Q8" s="477">
        <f t="shared" si="0"/>
        <v>59647.603847385704</v>
      </c>
    </row>
    <row r="9" spans="1:17" s="483" customFormat="1">
      <c r="A9" s="481" t="s">
        <v>561</v>
      </c>
      <c r="B9" s="482">
        <f>transport!B14</f>
        <v>113.35856090250353</v>
      </c>
      <c r="C9" s="482"/>
      <c r="D9" s="482">
        <f>transport!D14</f>
        <v>454.62501843201568</v>
      </c>
      <c r="E9" s="482">
        <f>transport!E14</f>
        <v>668.58549791546693</v>
      </c>
      <c r="F9" s="482"/>
      <c r="G9" s="482">
        <f>transport!G14</f>
        <v>205457.56627475569</v>
      </c>
      <c r="H9" s="482">
        <f>transport!H14</f>
        <v>51958.222083700755</v>
      </c>
      <c r="I9" s="482"/>
      <c r="J9" s="482"/>
      <c r="K9" s="482"/>
      <c r="L9" s="482"/>
      <c r="M9" s="482">
        <f>transport!M14</f>
        <v>13546.010919586215</v>
      </c>
      <c r="N9" s="482"/>
      <c r="O9" s="482"/>
      <c r="P9" s="482"/>
      <c r="Q9" s="481">
        <f>SUM(B9:P9)</f>
        <v>272198.36835529265</v>
      </c>
    </row>
    <row r="10" spans="1:17">
      <c r="A10" s="477" t="s">
        <v>551</v>
      </c>
      <c r="B10" s="478">
        <f>transport!B54</f>
        <v>0</v>
      </c>
      <c r="C10" s="478"/>
      <c r="D10" s="478">
        <f>transport!D54</f>
        <v>0</v>
      </c>
      <c r="E10" s="478"/>
      <c r="F10" s="478"/>
      <c r="G10" s="478">
        <f>transport!G54</f>
        <v>2672.9956142272376</v>
      </c>
      <c r="H10" s="478"/>
      <c r="I10" s="478"/>
      <c r="J10" s="478"/>
      <c r="K10" s="478"/>
      <c r="L10" s="478"/>
      <c r="M10" s="478">
        <f>transport!M54</f>
        <v>151.81435074479248</v>
      </c>
      <c r="N10" s="478"/>
      <c r="O10" s="478"/>
      <c r="P10" s="479"/>
      <c r="Q10" s="477">
        <f t="shared" si="0"/>
        <v>2824.8099649720302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99173.811157327218</v>
      </c>
      <c r="C14" s="488">
        <f t="shared" ref="C14:Q14" ca="1" si="1">SUM(C4:C13)</f>
        <v>0</v>
      </c>
      <c r="D14" s="488">
        <f t="shared" ca="1" si="1"/>
        <v>190789.30276575533</v>
      </c>
      <c r="E14" s="488">
        <f t="shared" si="1"/>
        <v>5600.1598015417385</v>
      </c>
      <c r="F14" s="488">
        <f t="shared" ca="1" si="1"/>
        <v>37688.329562542538</v>
      </c>
      <c r="G14" s="488">
        <f t="shared" si="1"/>
        <v>208130.56188898292</v>
      </c>
      <c r="H14" s="488">
        <f t="shared" si="1"/>
        <v>51958.222083700755</v>
      </c>
      <c r="I14" s="488">
        <f t="shared" si="1"/>
        <v>0</v>
      </c>
      <c r="J14" s="488">
        <f t="shared" si="1"/>
        <v>85.714186608918283</v>
      </c>
      <c r="K14" s="488">
        <f t="shared" si="1"/>
        <v>0</v>
      </c>
      <c r="L14" s="488">
        <f t="shared" ca="1" si="1"/>
        <v>0</v>
      </c>
      <c r="M14" s="488">
        <f t="shared" si="1"/>
        <v>13697.825270331008</v>
      </c>
      <c r="N14" s="488">
        <f t="shared" ca="1" si="1"/>
        <v>23781.887825377835</v>
      </c>
      <c r="O14" s="488">
        <f t="shared" si="1"/>
        <v>221.99333333333337</v>
      </c>
      <c r="P14" s="489">
        <f t="shared" si="1"/>
        <v>743.6</v>
      </c>
      <c r="Q14" s="489">
        <f t="shared" ca="1" si="1"/>
        <v>631871.40787550155</v>
      </c>
    </row>
    <row r="16" spans="1:17">
      <c r="A16" s="491" t="s">
        <v>556</v>
      </c>
      <c r="B16" s="841">
        <f ca="1">huishoudens!B10</f>
        <v>0.19552051804606158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8257.055895392863</v>
      </c>
      <c r="C21" s="478">
        <f t="shared" ref="C21:C28" ca="1" si="3">C4*$C$16</f>
        <v>0</v>
      </c>
      <c r="D21" s="478">
        <f t="shared" ref="D21:D30" si="4">D4*$D$16</f>
        <v>24464.78034371886</v>
      </c>
      <c r="E21" s="478">
        <f t="shared" ref="E21:E30" si="5">E4*$E$16</f>
        <v>722.06605568346311</v>
      </c>
      <c r="F21" s="478">
        <f t="shared" ref="F21:F28" si="6">F4*$F$16</f>
        <v>7092.5802363974071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40536.482531192596</v>
      </c>
    </row>
    <row r="22" spans="1:17">
      <c r="A22" s="477" t="s">
        <v>156</v>
      </c>
      <c r="B22" s="478">
        <f t="shared" ca="1" si="2"/>
        <v>6952.9589485293918</v>
      </c>
      <c r="C22" s="478">
        <f t="shared" ca="1" si="3"/>
        <v>0</v>
      </c>
      <c r="D22" s="478">
        <f t="shared" ca="1" si="4"/>
        <v>8084.5784227546937</v>
      </c>
      <c r="E22" s="478">
        <f t="shared" si="5"/>
        <v>116.20412681312671</v>
      </c>
      <c r="F22" s="478">
        <f t="shared" ca="1" si="6"/>
        <v>1639.7252788369588</v>
      </c>
      <c r="G22" s="478">
        <f t="shared" si="7"/>
        <v>0</v>
      </c>
      <c r="H22" s="478">
        <f t="shared" si="8"/>
        <v>0</v>
      </c>
      <c r="I22" s="478">
        <f t="shared" si="9"/>
        <v>0</v>
      </c>
      <c r="J22" s="478">
        <f t="shared" si="10"/>
        <v>2.7796274976957008E-2</v>
      </c>
      <c r="K22" s="478">
        <f t="shared" si="11"/>
        <v>0</v>
      </c>
      <c r="L22" s="478">
        <f t="shared" ca="1" si="12"/>
        <v>0</v>
      </c>
      <c r="M22" s="478">
        <f t="shared" si="13"/>
        <v>0</v>
      </c>
      <c r="N22" s="478">
        <f t="shared" ca="1" si="14"/>
        <v>0</v>
      </c>
      <c r="O22" s="478">
        <f t="shared" si="15"/>
        <v>0</v>
      </c>
      <c r="P22" s="479">
        <f t="shared" si="16"/>
        <v>0</v>
      </c>
      <c r="Q22" s="477">
        <f t="shared" ref="Q22:Q30" ca="1" si="17">SUM(B22:P22)</f>
        <v>16793.494573209147</v>
      </c>
    </row>
    <row r="23" spans="1:17">
      <c r="A23" s="477" t="s">
        <v>194</v>
      </c>
      <c r="B23" s="478">
        <f t="shared" ca="1" si="2"/>
        <v>404.48756867970496</v>
      </c>
      <c r="C23" s="478"/>
      <c r="D23" s="478"/>
      <c r="E23" s="478"/>
      <c r="F23" s="478"/>
      <c r="G23" s="478"/>
      <c r="H23" s="478"/>
      <c r="I23" s="478"/>
      <c r="J23" s="478"/>
      <c r="K23" s="478"/>
      <c r="L23" s="478"/>
      <c r="M23" s="478"/>
      <c r="N23" s="478"/>
      <c r="O23" s="478"/>
      <c r="P23" s="479"/>
      <c r="Q23" s="477">
        <f t="shared" ca="1" si="17"/>
        <v>404.48756867970496</v>
      </c>
    </row>
    <row r="24" spans="1:17">
      <c r="A24" s="477" t="s">
        <v>112</v>
      </c>
      <c r="B24" s="478">
        <f t="shared" ca="1" si="2"/>
        <v>38.125824429317859</v>
      </c>
      <c r="C24" s="478">
        <f t="shared" ca="1" si="3"/>
        <v>0</v>
      </c>
      <c r="D24" s="478">
        <f t="shared" si="4"/>
        <v>610.60841496392845</v>
      </c>
      <c r="E24" s="478">
        <f t="shared" si="5"/>
        <v>1.3010604619963821</v>
      </c>
      <c r="F24" s="478">
        <f t="shared" si="6"/>
        <v>216.89612746642237</v>
      </c>
      <c r="G24" s="478">
        <f t="shared" si="7"/>
        <v>0</v>
      </c>
      <c r="H24" s="478">
        <f t="shared" si="8"/>
        <v>0</v>
      </c>
      <c r="I24" s="478">
        <f t="shared" si="9"/>
        <v>0</v>
      </c>
      <c r="J24" s="478">
        <f t="shared" si="10"/>
        <v>10.00078708750898</v>
      </c>
      <c r="K24" s="478">
        <f t="shared" si="11"/>
        <v>0</v>
      </c>
      <c r="L24" s="478">
        <f t="shared" si="12"/>
        <v>0</v>
      </c>
      <c r="M24" s="478">
        <f t="shared" si="13"/>
        <v>0</v>
      </c>
      <c r="N24" s="478">
        <f t="shared" si="14"/>
        <v>0</v>
      </c>
      <c r="O24" s="478">
        <f t="shared" si="15"/>
        <v>0</v>
      </c>
      <c r="P24" s="479">
        <f t="shared" si="16"/>
        <v>0</v>
      </c>
      <c r="Q24" s="477">
        <f t="shared" ca="1" si="17"/>
        <v>876.93221440917409</v>
      </c>
    </row>
    <row r="25" spans="1:17">
      <c r="A25" s="477" t="s">
        <v>635</v>
      </c>
      <c r="B25" s="478">
        <f t="shared" ca="1" si="2"/>
        <v>3715.7227724990066</v>
      </c>
      <c r="C25" s="478">
        <f t="shared" ca="1" si="3"/>
        <v>0</v>
      </c>
      <c r="D25" s="478">
        <f t="shared" si="4"/>
        <v>5287.6377235218315</v>
      </c>
      <c r="E25" s="478">
        <f t="shared" si="5"/>
        <v>279.89612396457738</v>
      </c>
      <c r="F25" s="478">
        <f t="shared" si="6"/>
        <v>1113.5823504980701</v>
      </c>
      <c r="G25" s="478">
        <f t="shared" si="7"/>
        <v>0</v>
      </c>
      <c r="H25" s="478">
        <f t="shared" si="8"/>
        <v>0</v>
      </c>
      <c r="I25" s="478">
        <f t="shared" si="9"/>
        <v>0</v>
      </c>
      <c r="J25" s="478">
        <f t="shared" si="10"/>
        <v>20.314238697071133</v>
      </c>
      <c r="K25" s="478">
        <f t="shared" si="11"/>
        <v>0</v>
      </c>
      <c r="L25" s="478">
        <f t="shared" si="12"/>
        <v>0</v>
      </c>
      <c r="M25" s="478">
        <f t="shared" si="13"/>
        <v>0</v>
      </c>
      <c r="N25" s="478">
        <f t="shared" si="14"/>
        <v>0</v>
      </c>
      <c r="O25" s="478">
        <f t="shared" si="15"/>
        <v>0</v>
      </c>
      <c r="P25" s="479">
        <f t="shared" si="16"/>
        <v>0</v>
      </c>
      <c r="Q25" s="477">
        <f t="shared" ca="1" si="17"/>
        <v>10417.153209180557</v>
      </c>
    </row>
    <row r="26" spans="1:17" s="483" customFormat="1">
      <c r="A26" s="481" t="s">
        <v>561</v>
      </c>
      <c r="B26" s="835">
        <f t="shared" ca="1" si="2"/>
        <v>22.163924552613512</v>
      </c>
      <c r="C26" s="482"/>
      <c r="D26" s="482">
        <f t="shared" si="4"/>
        <v>91.834253723267167</v>
      </c>
      <c r="E26" s="482">
        <f t="shared" si="5"/>
        <v>151.768908026811</v>
      </c>
      <c r="F26" s="482"/>
      <c r="G26" s="482">
        <f t="shared" si="7"/>
        <v>54857.170195359773</v>
      </c>
      <c r="H26" s="482">
        <f t="shared" si="8"/>
        <v>12937.597298841489</v>
      </c>
      <c r="I26" s="482"/>
      <c r="J26" s="482"/>
      <c r="K26" s="482"/>
      <c r="L26" s="482"/>
      <c r="M26" s="482">
        <f t="shared" si="13"/>
        <v>0</v>
      </c>
      <c r="N26" s="482"/>
      <c r="O26" s="482"/>
      <c r="P26" s="493"/>
      <c r="Q26" s="481">
        <f t="shared" ca="1" si="17"/>
        <v>68060.534580503954</v>
      </c>
    </row>
    <row r="27" spans="1:17">
      <c r="A27" s="477" t="s">
        <v>551</v>
      </c>
      <c r="B27" s="478">
        <f t="shared" ca="1" si="2"/>
        <v>0</v>
      </c>
      <c r="C27" s="478"/>
      <c r="D27" s="482">
        <f t="shared" si="4"/>
        <v>0</v>
      </c>
      <c r="E27" s="478"/>
      <c r="F27" s="478"/>
      <c r="G27" s="478">
        <f t="shared" si="7"/>
        <v>713.68982899867251</v>
      </c>
      <c r="H27" s="478"/>
      <c r="I27" s="478"/>
      <c r="J27" s="478"/>
      <c r="K27" s="478"/>
      <c r="L27" s="478"/>
      <c r="M27" s="478">
        <f t="shared" si="13"/>
        <v>0</v>
      </c>
      <c r="N27" s="478"/>
      <c r="O27" s="478"/>
      <c r="P27" s="479"/>
      <c r="Q27" s="477">
        <f t="shared" ca="1" si="17"/>
        <v>713.68982899867251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19390.514934082898</v>
      </c>
      <c r="C31" s="488">
        <f t="shared" ca="1" si="18"/>
        <v>0</v>
      </c>
      <c r="D31" s="488">
        <f t="shared" ca="1" si="18"/>
        <v>38539.43915868258</v>
      </c>
      <c r="E31" s="488">
        <f t="shared" si="18"/>
        <v>1271.2362749499746</v>
      </c>
      <c r="F31" s="488">
        <f t="shared" ca="1" si="18"/>
        <v>10062.783993198858</v>
      </c>
      <c r="G31" s="488">
        <f t="shared" si="18"/>
        <v>55570.860024358444</v>
      </c>
      <c r="H31" s="488">
        <f t="shared" si="18"/>
        <v>12937.597298841489</v>
      </c>
      <c r="I31" s="488">
        <f t="shared" si="18"/>
        <v>0</v>
      </c>
      <c r="J31" s="488">
        <f t="shared" si="18"/>
        <v>30.342822059557072</v>
      </c>
      <c r="K31" s="488">
        <f t="shared" si="18"/>
        <v>0</v>
      </c>
      <c r="L31" s="488">
        <f t="shared" ca="1" si="18"/>
        <v>0</v>
      </c>
      <c r="M31" s="488">
        <f t="shared" si="18"/>
        <v>0</v>
      </c>
      <c r="N31" s="488">
        <f t="shared" ca="1" si="18"/>
        <v>0</v>
      </c>
      <c r="O31" s="488">
        <f t="shared" si="18"/>
        <v>0</v>
      </c>
      <c r="P31" s="489">
        <f t="shared" si="18"/>
        <v>0</v>
      </c>
      <c r="Q31" s="489">
        <f t="shared" ca="1" si="18"/>
        <v>137802.7745061738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0.19552051804606158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0.19552051804606158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0.19552051804606158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2019-01-01T21:17:57Z</dcterms:modified>
</cp:coreProperties>
</file>