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<sst xmlns="http://schemas.openxmlformats.org/spreadsheetml/2006/main" count="2099" uniqueCount="844">
  <si>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</si>
  <si>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</si>
  <si>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</si>
  <si>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</si>
  <si>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</si>
  <si>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</si>
  <si>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</si>
  <si>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</si>
  <si>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</si>
  <si>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</si>
  <si>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</si>
  <si>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</si>
  <si>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</si>
  <si>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</si>
  <si>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</si>
  <si>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</si>
  <si>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</si>
  <si>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</si>
  <si>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</si>
  <si>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</si>
  <si>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</si>
  <si>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</si>
  <si>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</si>
  <si>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</si>
  <si>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</si>
  <si>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</si>
  <si>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</si>
  <si>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</si>
  <si>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</si>
  <si>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</si>
  <si>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</si>
  <si>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</si>
  <si>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</si>
  <si>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</si>
  <si>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</si>
  <si>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</si>
  <si>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</si>
  <si>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</si>
  <si>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</si>
  <si>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</si>
  <si>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</si>
  <si>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</si>
  <si>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</si>
  <si>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</si>
  <si>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</si>
  <si>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</si>
  <si>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</si>
  <si>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</si>
  <si>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</si>
  <si>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</si>
  <si>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</si>
  <si>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</si>
  <si>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</si>
  <si>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</si>
  <si>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</si>
  <si>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</si>
  <si>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</si>
  <si>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</si>
  <si>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</si>
  <si>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</si>
  <si>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</si>
  <si>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</si>
  <si>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</si>
  <si>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</si>
  <si>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</si>
  <si>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</si>
  <si>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</si>
  <si>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</si>
  <si>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</si>
  <si>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</si>
  <si>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</si>
  <si>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</si>
  <si>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</si>
  <si>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</si>
  <si>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</si>
  <si>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</si>
  <si>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</si>
  <si>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</si>
  <si>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</si>
  <si>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</si>
  <si>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</si>
  <si>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</si>
  <si>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</si>
  <si>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</si>
  <si>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</si>
  <si>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</si>
  <si>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</si>
  <si>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</si>
  <si>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</si>
  <si>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</si>
  <si>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</si>
  <si>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</si>
  <si>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</si>
  <si>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</si>
  <si>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</si>
  <si>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</si>
  <si>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</si>
  <si>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</si>
  <si>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</si>
  <si>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</si>
  <si>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</si>
  <si>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</si>
  <si>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</si>
  <si>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</si>
  <si>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</si>
  <si>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</si>
  <si>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</si>
  <si>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</si>
  <si>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</si>
  <si>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</si>
  <si>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</si>
  <si>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</si>
  <si>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</si>
  <si>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</si>
  <si>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</si>
  <si>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</si>
  <si>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</si>
  <si>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</si>
  <si>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</si>
  <si>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</si>
  <si>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</si>
  <si>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</si>
  <si>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</si>
  <si>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</si>
  <si>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</si>
  <si>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</si>
  <si>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</si>
  <si>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</si>
  <si>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</si>
  <si>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</si>
  <si>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</si>
  <si>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</si>
  <si>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</si>
  <si>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</si>
  <si>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</si>
  <si>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</si>
  <si>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</si>
  <si>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</si>
  <si>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</si>
  <si>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</si>
  <si>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</si>
  <si>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</si>
  <si>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</si>
  <si>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</si>
  <si>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</si>
  <si>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</si>
  <si>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</si>
  <si>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</si>
  <si>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</si>
  <si>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</si>
  <si>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</si>
  <si>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</si>
  <si>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</si>
  <si>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</si>
  <si>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</si>
  <si>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</si>
  <si>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</si>
  <si>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</si>
  <si>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</si>
  <si>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</si>
  <si>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</si>
  <si>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</si>
  <si>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</si>
  <si>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</si>
  <si>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</si>
  <si>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</si>
  <si>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</si>
  <si>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</si>
  <si>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</si>
  <si>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</si>
  <si>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</si>
  <si>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</si>
  <si>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</si>
  <si>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</si>
  <si>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</si>
  <si>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</si>
  <si>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</si>
  <si>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</si>
  <si>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</si>
  <si>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</si>
  <si>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</si>
  <si>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</si>
  <si>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</si>
  <si>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</si>
  <si>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</si>
  <si>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</si>
  <si>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</si>
  <si>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</si>
  <si>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</si>
  <si>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</si>
  <si>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</si>
  <si>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</si>
  <si>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</si>
  <si>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</si>
  <si>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</si>
  <si>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</si>
  <si>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</si>
  <si>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</si>
  <si>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</si>
  <si>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</si>
  <si>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</si>
  <si>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</si>
  <si>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</si>
  <si>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</si>
  <si>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</si>
  <si>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</si>
  <si>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</si>
  <si>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</si>
  <si>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</si>
  <si>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</si>
  <si>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</si>
  <si>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</si>
  <si>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</si>
  <si>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</si>
  <si>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</si>
  <si>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</si>
  <si>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</si>
  <si>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</si>
  <si>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</si>
  <si>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</si>
  <si>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</si>
  <si>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</si>
  <si>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</si>
  <si>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</si>
  <si>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</si>
  <si>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</si>
  <si>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</si>
  <si>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</si>
  <si>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</si>
  <si>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</si>
  <si>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</si>
  <si>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</si>
  <si>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</si>
  <si>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</si>
  <si>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</si>
  <si>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</si>
  <si>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</si>
  <si>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</si>
  <si>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</si>
  <si>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</si>
  <si>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</si>
  <si>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</si>
  <si>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</si>
  <si>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</si>
  <si>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</si>
  <si>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</si>
  <si>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</si>
  <si>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</si>
  <si>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</si>
  <si>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</si>
  <si>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</si>
  <si>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</si>
  <si>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</si>
  <si>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</si>
  <si>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</si>
  <si>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</si>
  <si>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</si>
  <si>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</si>
  <si>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</si>
  <si>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</si>
  <si>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</si>
  <si>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</si>
  <si>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</si>
  <si>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</si>
  <si>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</si>
  <si>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</si>
  <si>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</si>
  <si>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</si>
  <si>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</si>
  <si>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</si>
  <si>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</si>
  <si>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</si>
  <si>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</si>
  <si>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</si>
  <si>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</si>
  <si>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</si>
  <si>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</si>
  <si>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</si>
  <si>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</si>
  <si>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</si>
  <si>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</si>
  <si>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</si>
  <si>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</si>
  <si>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</si>
  <si>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</si>
  <si>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</si>
  <si>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</si>
  <si>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</si>
  <si>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</si>
  <si>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</si>
  <si>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</si>
  <si>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</si>
  <si>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</si>
  <si>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</si>
  <si>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</si>
  <si>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</si>
  <si>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</si>
  <si>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</si>
  <si>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</si>
  <si>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</si>
  <si>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</si>
  <si>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</si>
  <si>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</si>
  <si>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</si>
  <si>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</si>
  <si>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</si>
  <si>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</si>
  <si>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</si>
  <si>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</si>
  <si>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</si>
  <si>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</si>
  <si>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</si>
  <si>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</si>
  <si>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</si>
  <si>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</si>
  <si>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</si>
  <si>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</si>
  <si>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</si>
  <si>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</si>
  <si>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</si>
  <si>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</si>
  <si>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</si>
  <si>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</si>
  <si>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</si>
  <si>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</si>
  <si>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</si>
  <si>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</si>
  <si>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</si>
  <si>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</si>
  <si>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</si>
  <si>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</si>
  <si>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</si>
  <si>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</si>
  <si>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</si>
  <si>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</si>
  <si>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</si>
  <si>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</si>
  <si>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</si>
  <si>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</si>
  <si>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</si>
  <si>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</si>
  <si>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</si>
  <si>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</si>
  <si>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</si>
  <si>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</si>
  <si>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</si>
  <si>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</si>
  <si>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</si>
  <si>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</si>
  <si>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</si>
  <si>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</si>
  <si>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</si>
  <si>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</si>
  <si>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</si>
  <si>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</si>
  <si>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</si>
  <si>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</si>
  <si>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</si>
  <si>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</si>
  <si>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</si>
  <si>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</si>
  <si>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</si>
  <si>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</si>
  <si>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</si>
  <si>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</si>
  <si>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</si>
  <si>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</si>
  <si>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</si>
  <si>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</si>
  <si>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</si>
  <si>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</si>
  <si>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</si>
  <si>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</si>
  <si>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</si>
  <si>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</si>
  <si>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</si>
  <si>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</si>
  <si>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</si>
  <si>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</si>
  <si>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</si>
  <si>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</si>
  <si>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</si>
  <si>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</si>
  <si>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</si>
  <si>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</si>
  <si>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</si>
  <si>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</si>
  <si>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</si>
  <si>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</si>
  <si>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</si>
  <si>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</si>
  <si>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</si>
  <si>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</si>
  <si>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</si>
  <si>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</si>
  <si>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</si>
  <si>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</si>
  <si>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</si>
  <si>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</si>
  <si>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</si>
  <si>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</si>
  <si>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</si>
  <si>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</si>
  <si>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</si>
  <si>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</si>
  <si>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</si>
  <si>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</si>
  <si>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</si>
  <si>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</si>
  <si>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</si>
  <si>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</si>
  <si>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</si>
  <si>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</si>
  <si>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</si>
  <si>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</si>
  <si>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</si>
  <si>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</si>
  <si>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</si>
  <si>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</si>
  <si>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</si>
  <si>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</si>
  <si>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</si>
  <si>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</si>
  <si>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</si>
  <si>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</si>
  <si>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</si>
  <si>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</si>
  <si>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</si>
  <si>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</si>
  <si>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</si>
  <si>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</si>
  <si>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</si>
  <si>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</si>
  <si>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</si>
  <si>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</si>
  <si>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</si>
  <si>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</si>
  <si>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</si>
  <si>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</si>
  <si>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</si>
  <si>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</si>
  <si>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</si>
  <si>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</si>
  <si>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</si>
  <si>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</si>
  <si>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</si>
  <si>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</si>
  <si>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</si>
  <si>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</si>
  <si>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</si>
  <si>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</si>
  <si>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</si>
  <si>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</si>
  <si>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</si>
  <si>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</si>
  <si>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</si>
  <si>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</si>
  <si>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</si>
  <si>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</si>
  <si>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</si>
  <si>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</si>
  <si>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</si>
  <si>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</si>
  <si>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</si>
  <si>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</si>
  <si>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</si>
  <si>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</si>
  <si>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</si>
  <si>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</si>
  <si>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</si>
  <si>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</si>
  <si>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</si>
  <si>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</si>
  <si>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</si>
  <si>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</si>
  <si>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</si>
  <si>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</si>
  <si>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</si>
  <si>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</si>
  <si>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</si>
  <si>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</si>
  <si>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</si>
  <si>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</si>
  <si>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</si>
  <si>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</si>
  <si>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</si>
  <si>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</si>
  <si>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</si>
  <si>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</si>
  <si>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</si>
  <si>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</si>
  <si>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</si>
  <si>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</si>
  <si>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</si>
  <si>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</si>
  <si>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</si>
  <si>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</si>
  <si>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</si>
  <si>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</si>
  <si>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</si>
  <si>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</si>
  <si>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</si>
  <si>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</si>
  <si>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</si>
  <si>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</si>
  <si>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</si>
  <si>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</si>
  <si>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</si>
  <si>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</si>
  <si>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</si>
  <si>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</si>
  <si>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</si>
  <si>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</si>
  <si>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</si>
  <si>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</si>
  <si>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</si>
  <si>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</si>
  <si>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</si>
  <si>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</si>
  <si>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</si>
  <si>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</si>
  <si>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</si>
  <si>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</si>
  <si>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</si>
  <si>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</si>
  <si>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</si>
  <si>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</si>
  <si>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</si>
  <si>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</si>
  <si>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</si>
  <si>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</si>
  <si>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</si>
  <si>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</si>
  <si>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</si>
  <si>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</si>
  <si>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</si>
  <si>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</si>
  <si>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</si>
  <si>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</si>
  <si>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</si>
  <si>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</si>
  <si>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</si>
  <si>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</si>
  <si>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</si>
  <si>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</si>
  <si>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</si>
  <si>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</si>
  <si>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</si>
  <si>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</si>
  <si>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</si>
  <si>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</si>
  <si>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</si>
  <si>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</si>
  <si>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</si>
  <si>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</si>
  <si>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</si>
  <si>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</si>
  <si>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</si>
  <si>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</si>
  <si>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</si>
  <si>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</si>
  <si>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</si>
  <si>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</si>
  <si>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</si>
  <si>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</si>
  <si>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</si>
  <si>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</si>
  <si>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</si>
  <si>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</si>
  <si>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</si>
  <si>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</si>
  <si>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</si>
  <si>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</si>
  <si>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</si>
  <si>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</si>
  <si>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</si>
  <si>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</si>
  <si>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</si>
  <si>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</si>
  <si>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</si>
  <si>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</si>
  <si>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</si>
  <si>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</si>
  <si>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</si>
  <si>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</si>
  <si>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</si>
  <si>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</si>
  <si>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</si>
  <si>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</si>
  <si>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</si>
  <si>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</si>
  <si>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</si>
  <si>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</si>
  <si>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</si>
  <si>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</si>
  <si>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</si>
  <si>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</si>
  <si>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</si>
  <si>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</si>
  <si>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</si>
  <si>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</si>
  <si>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</si>
  <si>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</si>
  <si>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</si>
  <si>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</si>
  <si>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</si>
  <si>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</si>
  <si>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</si>
  <si>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</si>
  <si>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</si>
  <si>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</si>
  <si>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</si>
  <si>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</si>
  <si>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</si>
  <si>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</si>
  <si>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</si>
  <si>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</si>
  <si>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</si>
  <si>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</si>
  <si>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</si>
  <si>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</si>
  <si>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</si>
  <si>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</si>
  <si>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</si>
  <si>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</si>
  <si>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</si>
  <si>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</si>
  <si>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</si>
  <si>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</si>
  <si>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</si>
  <si>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</si>
  <si>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</si>
  <si>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</si>
  <si>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</si>
  <si>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</si>
  <si>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</si>
  <si>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</si>
  <si>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</si>
  <si>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</si>
  <si>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</si>
  <si>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</si>
  <si>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</si>
  <si>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</si>
  <si>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</si>
  <si>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</si>
  <si>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</si>
  <si>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</si>
  <si>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</si>
  <si>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</si>
  <si>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</si>
  <si>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</si>
  <si>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</si>
  <si>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</si>
  <si>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</si>
  <si>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</si>
  <si>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</si>
  <si>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</si>
  <si>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</si>
  <si>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</si>
  <si>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</si>
  <si>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</si>
  <si>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</si>
  <si>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</si>
  <si>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</si>
  <si>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</si>
  <si>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</si>
  <si>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</si>
  <si>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</si>
  <si>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</si>
  <si>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</si>
  <si>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</si>
  <si>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</si>
  <si>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</si>
  <si>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</si>
  <si>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</si>
  <si>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</si>
  <si>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</si>
  <si>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</si>
  <si>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</si>
  <si>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</si>
  <si>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</si>
  <si>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</si>
  <si>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</si>
  <si>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</si>
  <si>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</si>
  <si>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</si>
  <si>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</si>
  <si>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</si>
  <si>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</si>
  <si>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</si>
  <si>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</si>
  <si>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</si>
  <si>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</si>
  <si>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</si>
  <si>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</si>
  <si>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</si>
  <si>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</si>
  <si>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</si>
  <si>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</si>
  <si>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</si>
  <si>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</si>
  <si>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</si>
  <si>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</si>
  <si>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</si>
  <si>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</si>
  <si>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</si>
  <si>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</si>
  <si>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</si>
  <si>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</si>
  <si>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</si>
  <si>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</si>
  <si>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</si>
  <si>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</si>
  <si>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</si>
  <si>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</si>
  <si>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</si>
  <si>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</si>
  <si>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</si>
  <si>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</si>
  <si>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</si>
  <si>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</si>
  <si>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</si>
  <si>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</si>
  <si>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</si>
  <si>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</si>
  <si>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</si>
  <si>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</si>
  <si>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</si>
  <si>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</si>
  <si>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</si>
  <si>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</si>
  <si>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</si>
  <si>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</si>
  <si>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</si>
  <si>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</si>
  <si>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</si>
  <si>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</si>
  <si>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</si>
  <si>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</si>
  <si>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</si>
  <si>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</si>
  <si>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</si>
  <si>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</si>
  <si>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</si>
  <si>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</si>
  <si>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</si>
  <si>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</si>
  <si>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</si>
  <si>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</si>
  <si>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</si>
  <si>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</si>
  <si>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</si>
  <si>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</si>
  <si>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</si>
  <si>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</si>
  <si>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</si>
  <si>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</si>
  <si>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</si>
  <si>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</si>
  <si>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</si>
  <si>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</si>
  <si>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</si>
  <si>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</si>
  <si>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</si>
  <si>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</si>
  <si>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</si>
  <si>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</si>
  <si>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</si>
  <si>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</si>
  <si>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</si>
  <si>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</si>
  <si>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</si>
  <si>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</si>
  <si>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</si>
  <si>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</si>
  <si>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</si>
  <si>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</si>
  <si>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</si>
  <si>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</si>
  <si>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</si>
  <si>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</si>
  <si>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</si>
  <si>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</si>
  <si>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</si>
  <si>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</si>
  <si>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</si>
  <si>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</si>
  <si>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</si>
  <si>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</si>
  <si>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</si>
  <si>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</si>
  <si>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</si>
  <si>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</si>
  <si>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</si>
  <si>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</si>
  <si>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</si>
  <si>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</si>
  <si>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</si>
  <si>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</si>
  <si>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</si>
  <si>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</si>
  <si>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</si>
  <si>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</si>
  <si>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</si>
  <si>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</si>
  <si>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</si>
  <si>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</si>
  <si>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</si>
  <si>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</si>
  <si>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</si>
  <si>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</si>
  <si>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</si>
  <si>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</si>
  <si>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</si>
  <si>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</si>
  <si>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</si>
  <si>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</si>
  <si>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</si>
  <si>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</si>
  <si>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</si>
  <si>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</si>
  <si>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</si>
  <si>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</si>
  <si>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</si>
  <si>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</si>
  <si>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</si>
  <si>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</si>
  <si>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</si>
  <si>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</si>
  <si>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</si>
  <si>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</si>
  <si>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</si>
  <si>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</si>
  <si>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</si>
  <si>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</si>
  <si>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</si>
  <si>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13046</t>
  </si>
  <si>
    <t>VOSSELAAR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</si>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</sst>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88940.213741923144</c:v>
                </c:pt>
                <c:pt idx="1">
                  <c:v>16982.168783759505</c:v>
                </c:pt>
                <c:pt idx="2">
                  <c:v>546.78099999999995</c:v>
                </c:pt>
                <c:pt idx="3">
                  <c:v>2153.7202504022835</c:v>
                </c:pt>
                <c:pt idx="4">
                  <c:v>3856.6042192829527</c:v>
                </c:pt>
                <c:pt idx="5">
                  <c:v>83826.252939111029</c:v>
                </c:pt>
                <c:pt idx="6">
                  <c:v>1277.7697086306766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88940.213741923144</c:v>
                </c:pt>
                <c:pt idx="1">
                  <c:v>16982.168783759505</c:v>
                </c:pt>
                <c:pt idx="2">
                  <c:v>546.78099999999995</c:v>
                </c:pt>
                <c:pt idx="3">
                  <c:v>2153.7202504022835</c:v>
                </c:pt>
                <c:pt idx="4">
                  <c:v>3856.6042192829527</c:v>
                </c:pt>
                <c:pt idx="5">
                  <c:v>83826.252939111029</c:v>
                </c:pt>
                <c:pt idx="6">
                  <c:v>1277.7697086306766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14979.775174409478</c:v>
                </c:pt>
                <c:pt idx="1">
                  <c:v>3330.9615180342444</c:v>
                </c:pt>
                <c:pt idx="2">
                  <c:v>107.42309678091385</c:v>
                </c:pt>
                <c:pt idx="3">
                  <c:v>515.90467894008691</c:v>
                </c:pt>
                <c:pt idx="4">
                  <c:v>764.85833946827836</c:v>
                </c:pt>
                <c:pt idx="5">
                  <c:v>21010.449701644655</c:v>
                </c:pt>
                <c:pt idx="6">
                  <c:v>322.82923671339449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14979.775174409478</c:v>
                </c:pt>
                <c:pt idx="1">
                  <c:v>3330.9615180342444</c:v>
                </c:pt>
                <c:pt idx="2">
                  <c:v>107.42309678091385</c:v>
                </c:pt>
                <c:pt idx="3">
                  <c:v>515.90467894008691</c:v>
                </c:pt>
                <c:pt idx="4">
                  <c:v>764.85833946827836</c:v>
                </c:pt>
                <c:pt idx="5">
                  <c:v>21010.449701644655</c:v>
                </c:pt>
                <c:pt idx="6">
                  <c:v>322.82923671339449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4339</v>
      </c>
      <c r="C9" s="342">
        <v>4137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157.54</v>
      </c>
    </row>
    <row r="15" spans="1:6">
      <c r="A15" s="348" t="s">
        <v>184</v>
      </c>
      <c r="B15" s="334">
        <v>1507</v>
      </c>
    </row>
    <row r="16" spans="1:6">
      <c r="A16" s="348" t="s">
        <v>6</v>
      </c>
      <c r="B16" s="334">
        <v>0</v>
      </c>
    </row>
    <row r="17" spans="1:6">
      <c r="A17" s="348" t="s">
        <v>7</v>
      </c>
      <c r="B17" s="334">
        <v>57</v>
      </c>
    </row>
    <row r="18" spans="1:6">
      <c r="A18" s="348" t="s">
        <v>8</v>
      </c>
      <c r="B18" s="334">
        <v>41</v>
      </c>
    </row>
    <row r="19" spans="1:6">
      <c r="A19" s="348" t="s">
        <v>9</v>
      </c>
      <c r="B19" s="334">
        <v>36</v>
      </c>
    </row>
    <row r="20" spans="1:6">
      <c r="A20" s="348" t="s">
        <v>10</v>
      </c>
      <c r="B20" s="334">
        <v>32</v>
      </c>
    </row>
    <row r="21" spans="1:6">
      <c r="A21" s="348" t="s">
        <v>11</v>
      </c>
      <c r="B21" s="334">
        <v>0</v>
      </c>
    </row>
    <row r="22" spans="1:6">
      <c r="A22" s="348" t="s">
        <v>12</v>
      </c>
      <c r="B22" s="334">
        <v>815</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74957</v>
      </c>
    </row>
    <row r="29" spans="1:6">
      <c r="A29" s="355" t="s">
        <v>744</v>
      </c>
      <c r="B29" s="355">
        <v>22</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55125</v>
      </c>
    </row>
    <row r="37" spans="1:6">
      <c r="A37" s="348" t="s">
        <v>25</v>
      </c>
      <c r="B37" s="348" t="s">
        <v>28</v>
      </c>
      <c r="C37" s="334">
        <v>0</v>
      </c>
      <c r="D37" s="334">
        <v>0</v>
      </c>
      <c r="E37" s="334">
        <v>0</v>
      </c>
      <c r="F37" s="334">
        <v>0</v>
      </c>
    </row>
    <row r="38" spans="1:6">
      <c r="A38" s="348" t="s">
        <v>25</v>
      </c>
      <c r="B38" s="348" t="s">
        <v>29</v>
      </c>
      <c r="C38" s="334">
        <v>1</v>
      </c>
      <c r="D38" s="334">
        <v>86391</v>
      </c>
      <c r="E38" s="334">
        <v>0</v>
      </c>
      <c r="F38" s="334">
        <v>0</v>
      </c>
    </row>
    <row r="39" spans="1:6">
      <c r="A39" s="348" t="s">
        <v>30</v>
      </c>
      <c r="B39" s="348" t="s">
        <v>31</v>
      </c>
      <c r="C39" s="334">
        <v>3605</v>
      </c>
      <c r="D39" s="334">
        <v>61790670.471011713</v>
      </c>
      <c r="E39" s="334">
        <v>4304</v>
      </c>
      <c r="F39" s="334">
        <v>14797904.79499202</v>
      </c>
    </row>
    <row r="40" spans="1:6">
      <c r="A40" s="348" t="s">
        <v>30</v>
      </c>
      <c r="B40" s="348" t="s">
        <v>29</v>
      </c>
      <c r="C40" s="334">
        <v>0</v>
      </c>
      <c r="D40" s="334">
        <v>0</v>
      </c>
      <c r="E40" s="334">
        <v>0</v>
      </c>
      <c r="F40" s="334">
        <v>0</v>
      </c>
    </row>
    <row r="41" spans="1:6">
      <c r="A41" s="348" t="s">
        <v>32</v>
      </c>
      <c r="B41" s="348" t="s">
        <v>33</v>
      </c>
      <c r="C41" s="334">
        <v>55</v>
      </c>
      <c r="D41" s="334">
        <v>1172980.95</v>
      </c>
      <c r="E41" s="334">
        <v>92</v>
      </c>
      <c r="F41" s="334">
        <v>682124.59699999995</v>
      </c>
    </row>
    <row r="42" spans="1:6">
      <c r="A42" s="348" t="s">
        <v>32</v>
      </c>
      <c r="B42" s="348" t="s">
        <v>34</v>
      </c>
      <c r="C42" s="334">
        <v>3</v>
      </c>
      <c r="D42" s="334">
        <v>218843</v>
      </c>
      <c r="E42" s="334">
        <v>5</v>
      </c>
      <c r="F42" s="334">
        <v>162554.69200000001</v>
      </c>
    </row>
    <row r="43" spans="1:6">
      <c r="A43" s="348" t="s">
        <v>32</v>
      </c>
      <c r="B43" s="348" t="s">
        <v>35</v>
      </c>
      <c r="C43" s="334">
        <v>0</v>
      </c>
      <c r="D43" s="334">
        <v>0</v>
      </c>
      <c r="E43" s="334">
        <v>0</v>
      </c>
      <c r="F43" s="334">
        <v>0</v>
      </c>
    </row>
    <row r="44" spans="1:6">
      <c r="A44" s="348" t="s">
        <v>32</v>
      </c>
      <c r="B44" s="348" t="s">
        <v>36</v>
      </c>
      <c r="C44" s="334">
        <v>4</v>
      </c>
      <c r="D44" s="334">
        <v>97396</v>
      </c>
      <c r="E44" s="334">
        <v>7</v>
      </c>
      <c r="F44" s="334">
        <v>54234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25268</v>
      </c>
      <c r="E48" s="334">
        <v>0</v>
      </c>
      <c r="F48" s="334">
        <v>0</v>
      </c>
    </row>
    <row r="49" spans="1:6">
      <c r="A49" s="348" t="s">
        <v>32</v>
      </c>
      <c r="B49" s="348" t="s">
        <v>40</v>
      </c>
      <c r="C49" s="334">
        <v>0</v>
      </c>
      <c r="D49" s="334">
        <v>0</v>
      </c>
      <c r="E49" s="334">
        <v>3</v>
      </c>
      <c r="F49" s="334">
        <v>19907</v>
      </c>
    </row>
    <row r="50" spans="1:6">
      <c r="A50" s="348" t="s">
        <v>32</v>
      </c>
      <c r="B50" s="348" t="s">
        <v>41</v>
      </c>
      <c r="C50" s="334">
        <v>7</v>
      </c>
      <c r="D50" s="334">
        <v>345520</v>
      </c>
      <c r="E50" s="334">
        <v>10</v>
      </c>
      <c r="F50" s="334">
        <v>239567</v>
      </c>
    </row>
    <row r="51" spans="1:6">
      <c r="A51" s="348" t="s">
        <v>42</v>
      </c>
      <c r="B51" s="348" t="s">
        <v>43</v>
      </c>
      <c r="C51" s="334">
        <v>6</v>
      </c>
      <c r="D51" s="334">
        <v>119830</v>
      </c>
      <c r="E51" s="334">
        <v>13</v>
      </c>
      <c r="F51" s="334">
        <v>280733</v>
      </c>
    </row>
    <row r="52" spans="1:6">
      <c r="A52" s="348" t="s">
        <v>42</v>
      </c>
      <c r="B52" s="348" t="s">
        <v>29</v>
      </c>
      <c r="C52" s="334">
        <v>0</v>
      </c>
      <c r="D52" s="334">
        <v>0</v>
      </c>
      <c r="E52" s="334">
        <v>0</v>
      </c>
      <c r="F52" s="334">
        <v>0</v>
      </c>
    </row>
    <row r="53" spans="1:6">
      <c r="A53" s="348" t="s">
        <v>44</v>
      </c>
      <c r="B53" s="348" t="s">
        <v>45</v>
      </c>
      <c r="C53" s="334">
        <v>36</v>
      </c>
      <c r="D53" s="334">
        <v>605829.6</v>
      </c>
      <c r="E53" s="334">
        <v>64</v>
      </c>
      <c r="F53" s="334">
        <v>216393</v>
      </c>
    </row>
    <row r="54" spans="1:6">
      <c r="A54" s="348" t="s">
        <v>46</v>
      </c>
      <c r="B54" s="348" t="s">
        <v>47</v>
      </c>
      <c r="C54" s="334">
        <v>0</v>
      </c>
      <c r="D54" s="334">
        <v>0</v>
      </c>
      <c r="E54" s="334">
        <v>1</v>
      </c>
      <c r="F54" s="334">
        <v>546781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804565</v>
      </c>
      <c r="E57" s="334">
        <v>31</v>
      </c>
      <c r="F57" s="334">
        <v>786692.33400000003</v>
      </c>
    </row>
    <row r="58" spans="1:6">
      <c r="A58" s="348" t="s">
        <v>49</v>
      </c>
      <c r="B58" s="348" t="s">
        <v>51</v>
      </c>
      <c r="C58" s="334">
        <v>26</v>
      </c>
      <c r="D58" s="334">
        <v>1541933</v>
      </c>
      <c r="E58" s="334">
        <v>34</v>
      </c>
      <c r="F58" s="334">
        <v>618039</v>
      </c>
    </row>
    <row r="59" spans="1:6">
      <c r="A59" s="348" t="s">
        <v>49</v>
      </c>
      <c r="B59" s="348" t="s">
        <v>52</v>
      </c>
      <c r="C59" s="334">
        <v>54</v>
      </c>
      <c r="D59" s="334">
        <v>1779571</v>
      </c>
      <c r="E59" s="334">
        <v>85</v>
      </c>
      <c r="F59" s="334">
        <v>2097804</v>
      </c>
    </row>
    <row r="60" spans="1:6">
      <c r="A60" s="348" t="s">
        <v>49</v>
      </c>
      <c r="B60" s="348" t="s">
        <v>53</v>
      </c>
      <c r="C60" s="334">
        <v>43</v>
      </c>
      <c r="D60" s="334">
        <v>1677953.05</v>
      </c>
      <c r="E60" s="334">
        <v>45</v>
      </c>
      <c r="F60" s="334">
        <v>923716.674</v>
      </c>
    </row>
    <row r="61" spans="1:6">
      <c r="A61" s="348" t="s">
        <v>49</v>
      </c>
      <c r="B61" s="348" t="s">
        <v>54</v>
      </c>
      <c r="C61" s="334">
        <v>107</v>
      </c>
      <c r="D61" s="334">
        <v>3837191.4</v>
      </c>
      <c r="E61" s="334">
        <v>182</v>
      </c>
      <c r="F61" s="334">
        <v>1842857.75</v>
      </c>
    </row>
    <row r="62" spans="1:6">
      <c r="A62" s="348" t="s">
        <v>49</v>
      </c>
      <c r="B62" s="348" t="s">
        <v>55</v>
      </c>
      <c r="C62" s="334">
        <v>5</v>
      </c>
      <c r="D62" s="334">
        <v>116642</v>
      </c>
      <c r="E62" s="334">
        <v>5</v>
      </c>
      <c r="F62" s="334">
        <v>22801</v>
      </c>
    </row>
    <row r="63" spans="1:6">
      <c r="A63" s="348" t="s">
        <v>49</v>
      </c>
      <c r="B63" s="348" t="s">
        <v>29</v>
      </c>
      <c r="C63" s="334">
        <v>0</v>
      </c>
      <c r="D63" s="334">
        <v>0</v>
      </c>
      <c r="E63" s="334">
        <v>1</v>
      </c>
      <c r="F63" s="334">
        <v>11110.75225566</v>
      </c>
    </row>
    <row r="64" spans="1:6">
      <c r="A64" s="348" t="s">
        <v>56</v>
      </c>
      <c r="B64" s="348" t="s">
        <v>57</v>
      </c>
      <c r="C64" s="334">
        <v>0</v>
      </c>
      <c r="D64" s="334">
        <v>0</v>
      </c>
      <c r="E64" s="334">
        <v>0</v>
      </c>
      <c r="F64" s="334">
        <v>0</v>
      </c>
    </row>
    <row r="65" spans="1:6">
      <c r="A65" s="348" t="s">
        <v>56</v>
      </c>
      <c r="B65" s="348" t="s">
        <v>29</v>
      </c>
      <c r="C65" s="334">
        <v>2</v>
      </c>
      <c r="D65" s="334">
        <v>85567</v>
      </c>
      <c r="E65" s="334">
        <v>2</v>
      </c>
      <c r="F65" s="334">
        <v>13527.851945122</v>
      </c>
    </row>
    <row r="66" spans="1:6">
      <c r="A66" s="348" t="s">
        <v>56</v>
      </c>
      <c r="B66" s="348" t="s">
        <v>58</v>
      </c>
      <c r="C66" s="334">
        <v>0</v>
      </c>
      <c r="D66" s="334">
        <v>0</v>
      </c>
      <c r="E66" s="334">
        <v>6</v>
      </c>
      <c r="F66" s="334">
        <v>172783</v>
      </c>
    </row>
    <row r="67" spans="1:6">
      <c r="A67" s="355" t="s">
        <v>56</v>
      </c>
      <c r="B67" s="355" t="s">
        <v>59</v>
      </c>
      <c r="C67" s="334">
        <v>0</v>
      </c>
      <c r="D67" s="334">
        <v>0</v>
      </c>
      <c r="E67" s="334">
        <v>0</v>
      </c>
      <c r="F67" s="334">
        <v>0</v>
      </c>
    </row>
    <row r="68" spans="1:6">
      <c r="A68" s="341" t="s">
        <v>56</v>
      </c>
      <c r="B68" s="341" t="s">
        <v>60</v>
      </c>
      <c r="C68" s="334">
        <v>0</v>
      </c>
      <c r="D68" s="334">
        <v>0</v>
      </c>
      <c r="E68" s="334">
        <v>3</v>
      </c>
      <c r="F68" s="334">
        <v>11390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17321597</v>
      </c>
      <c r="E73" s="476">
        <v>17468494.292026684</v>
      </c>
    </row>
    <row r="74" spans="1:6">
      <c r="A74" s="348" t="s">
        <v>64</v>
      </c>
      <c r="B74" s="348" t="s">
        <v>657</v>
      </c>
      <c r="C74" s="1272" t="s">
        <v>659</v>
      </c>
      <c r="D74" s="476">
        <v>1412542.749983218</v>
      </c>
      <c r="E74" s="476">
        <v>1415888.1065517294</v>
      </c>
    </row>
    <row r="75" spans="1:6">
      <c r="A75" s="348" t="s">
        <v>65</v>
      </c>
      <c r="B75" s="348" t="s">
        <v>656</v>
      </c>
      <c r="C75" s="1272" t="s">
        <v>660</v>
      </c>
      <c r="D75" s="476">
        <v>14036034</v>
      </c>
      <c r="E75" s="476">
        <v>14285574.410860153</v>
      </c>
    </row>
    <row r="76" spans="1:6">
      <c r="A76" s="348" t="s">
        <v>65</v>
      </c>
      <c r="B76" s="348" t="s">
        <v>657</v>
      </c>
      <c r="C76" s="1272" t="s">
        <v>661</v>
      </c>
      <c r="D76" s="476">
        <v>101215.74998321815</v>
      </c>
      <c r="E76" s="476">
        <v>101611.31697466862</v>
      </c>
    </row>
    <row r="77" spans="1:6">
      <c r="A77" s="348" t="s">
        <v>66</v>
      </c>
      <c r="B77" s="348" t="s">
        <v>656</v>
      </c>
      <c r="C77" s="1272" t="s">
        <v>662</v>
      </c>
      <c r="D77" s="476">
        <v>41415028</v>
      </c>
      <c r="E77" s="476">
        <v>39417577.47568433</v>
      </c>
    </row>
    <row r="78" spans="1:6">
      <c r="A78" s="341" t="s">
        <v>66</v>
      </c>
      <c r="B78" s="341" t="s">
        <v>657</v>
      </c>
      <c r="C78" s="341" t="s">
        <v>663</v>
      </c>
      <c r="D78" s="1273">
        <v>11005339</v>
      </c>
      <c r="E78" s="1273">
        <v>11542044.589813532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346552.5000335637</v>
      </c>
      <c r="C83" s="476">
        <v>348077.75988345972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2854.1790261463416</v>
      </c>
    </row>
    <row r="92" spans="1:6">
      <c r="A92" s="341" t="s">
        <v>69</v>
      </c>
      <c r="B92" s="342">
        <v>28.970509017730564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32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25969.635625574698</v>
      </c>
      <c r="C3" s="43" t="s">
        <v>170</v>
      </c>
      <c r="D3" s="43"/>
      <c r="E3" s="154"/>
      <c r="F3" s="43"/>
      <c r="G3" s="43"/>
      <c r="H3" s="43"/>
      <c r="I3" s="43"/>
      <c r="J3" s="43"/>
      <c r="K3" s="96"/>
    </row>
    <row r="4" spans="1:11">
      <c r="A4" s="383" t="s">
        <v>171</v>
      </c>
      <c r="B4" s="49">
        <f>IF(ISERROR('SEAP template'!B69),0,'SEAP template'!B69)</f>
        <v>2883.1495351640719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0.19646457499604753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546.78099999999995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0.19646457499604753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107.42309678091385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14797.90479499202</v>
      </c>
      <c r="C5" s="17">
        <f>IF(ISERROR('Eigen informatie GS &amp; warmtenet'!B57),0,'Eigen informatie GS &amp; warmtenet'!B57)</f>
        <v>0</v>
      </c>
      <c r="D5" s="30">
        <f>(SUM(HH_hh_gas_kWh,HH_rest_gas_kWh)/1000)*0.902</f>
        <v>55735.184764852565</v>
      </c>
      <c r="E5" s="17">
        <f>B46*B57</f>
        <v>1115.6771198004537</v>
      </c>
      <c r="F5" s="17">
        <f>B51*B62</f>
        <v>0</v>
      </c>
      <c r="G5" s="18"/>
      <c r="H5" s="17"/>
      <c r="I5" s="17"/>
      <c r="J5" s="17">
        <f>B50*B61+C50*C61</f>
        <v>0</v>
      </c>
      <c r="K5" s="17"/>
      <c r="L5" s="17"/>
      <c r="M5" s="17"/>
      <c r="N5" s="17">
        <f>B48*B59+C48*C59</f>
        <v>13307.584702798433</v>
      </c>
      <c r="O5" s="17">
        <f>B69*B70*B71</f>
        <v>195.41666666666669</v>
      </c>
      <c r="P5" s="17">
        <f>B77*B78*B79/1000-B77*B78*B79/1000/B80</f>
        <v>934.26666666666665</v>
      </c>
    </row>
    <row r="6" spans="1:16">
      <c r="A6" s="16" t="s">
        <v>621</v>
      </c>
      <c r="B6" s="843">
        <f>kWh_PV_kleiner_dan_10kW</f>
        <v>2854.1790261463416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17652.083821138363</v>
      </c>
      <c r="C8" s="21">
        <f>C5</f>
        <v>0</v>
      </c>
      <c r="D8" s="21">
        <f>D5</f>
        <v>55735.184764852565</v>
      </c>
      <c r="E8" s="21">
        <f>E5</f>
        <v>1115.6771198004537</v>
      </c>
      <c r="F8" s="21">
        <f>F5</f>
        <v>0</v>
      </c>
      <c r="G8" s="21"/>
      <c r="H8" s="21"/>
      <c r="I8" s="21"/>
      <c r="J8" s="21">
        <f>J5</f>
        <v>0</v>
      </c>
      <c r="K8" s="21"/>
      <c r="L8" s="21">
        <f>L5</f>
        <v>0</v>
      </c>
      <c r="M8" s="21">
        <f>M5</f>
        <v>0</v>
      </c>
      <c r="N8" s="21">
        <f>N5</f>
        <v>13307.584702798433</v>
      </c>
      <c r="O8" s="21">
        <f>O5</f>
        <v>195.41666666666669</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0.19646457499604753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3468.009145714555</v>
      </c>
      <c r="C12" s="23">
        <f ca="1">C10*C8</f>
        <v>0</v>
      </c>
      <c r="D12" s="23">
        <f>D8*D10</f>
        <v>11258.50732250022</v>
      </c>
      <c r="E12" s="23">
        <f>E10*E8</f>
        <v>253.258706194703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4339</v>
      </c>
      <c r="C28" s="36"/>
      <c r="D28" s="228"/>
    </row>
    <row r="29" spans="1:7" s="15" customFormat="1">
      <c r="A29" s="230" t="s">
        <v>795</v>
      </c>
      <c r="B29" s="37">
        <f>SUM(HH_hh_gas_aantal,HH_rest_gas_aantal)</f>
        <v>3605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3605</v>
      </c>
      <c r="C32" s="167">
        <f>IF(ISERROR(B32/SUM($B$32,$B$34,$B$35,$B$36,$B$38,$B$39)*100),0,B32/SUM($B$32,$B$34,$B$35,$B$36,$B$38,$B$39)*100)</f>
        <v>84.032634032634036</v>
      </c>
      <c r="D32" s="233"/>
      <c r="G32" s="15"/>
    </row>
    <row r="33" spans="1:7">
      <c r="A33" s="171" t="s">
        <v>72</v>
      </c>
      <c r="B33" s="34" t="s">
        <v>111</v>
      </c>
      <c r="C33" s="167"/>
      <c r="D33" s="233"/>
      <c r="G33" s="15"/>
    </row>
    <row r="34" spans="1:7">
      <c r="A34" s="171" t="s">
        <v>73</v>
      </c>
      <c r="B34" s="33">
        <f>IF((($B$28-$B$32-$B$39-$B$77-$B$38)*C20/100)&lt;0,0,($B$28-$B$32-$B$39-$B$77-$B$38)*C20/100)</f>
        <v>52.692307692307693</v>
      </c>
      <c r="C34" s="167">
        <f>IF(ISERROR(B34/SUM($B$32,$B$34,$B$35,$B$36,$B$38,$B$39)*100),0,B34/SUM($B$32,$B$34,$B$35,$B$36,$B$38,$B$39)*100)</f>
        <v>1.2282589205666128</v>
      </c>
      <c r="D34" s="233"/>
      <c r="G34" s="15"/>
    </row>
    <row r="35" spans="1:7">
      <c r="A35" s="171" t="s">
        <v>74</v>
      </c>
      <c r="B35" s="33">
        <f>IF((($B$28-$B$32-$B$39-$B$77-$B$38)*C21/100)&lt;0,0,($B$28-$B$32-$B$39-$B$77-$B$38)*C21/100)</f>
        <v>447.88461538461542</v>
      </c>
      <c r="C35" s="167">
        <f>IF(ISERROR(B35/SUM($B$32,$B$34,$B$35,$B$36,$B$38,$B$39)*100),0,B35/SUM($B$32,$B$34,$B$35,$B$36,$B$38,$B$39)*100)</f>
        <v>10.440200824816211</v>
      </c>
      <c r="D35" s="233"/>
      <c r="G35" s="15"/>
    </row>
    <row r="36" spans="1:7">
      <c r="A36" s="171" t="s">
        <v>75</v>
      </c>
      <c r="B36" s="33">
        <f>IF((($B$28-$B$32-$B$39-$B$77-$B$38)*C22/100)&lt;0,0,($B$28-$B$32-$B$39-$B$77-$B$38)*C22/100)</f>
        <v>184.42307692307691</v>
      </c>
      <c r="C36" s="167">
        <f>IF(ISERROR(B36/SUM($B$32,$B$34,$B$35,$B$36,$B$38,$B$39)*100),0,B36/SUM($B$32,$B$34,$B$35,$B$36,$B$38,$B$39)*100)</f>
        <v>4.2989062219831444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3605</v>
      </c>
      <c r="C44" s="34" t="s">
        <v>111</v>
      </c>
      <c r="D44" s="174"/>
    </row>
    <row r="45" spans="1:7">
      <c r="A45" s="171" t="s">
        <v>72</v>
      </c>
      <c r="B45" s="33" t="str">
        <f t="shared" si="0"/>
        <v>-</v>
      </c>
      <c r="C45" s="34" t="s">
        <v>111</v>
      </c>
      <c r="D45" s="174"/>
    </row>
    <row r="46" spans="1:7">
      <c r="A46" s="171" t="s">
        <v>73</v>
      </c>
      <c r="B46" s="33">
        <f t="shared" si="0"/>
        <v>52.692307692307693</v>
      </c>
      <c r="C46" s="34" t="s">
        <v>111</v>
      </c>
      <c r="D46" s="174"/>
    </row>
    <row r="47" spans="1:7">
      <c r="A47" s="171" t="s">
        <v>74</v>
      </c>
      <c r="B47" s="33">
        <f t="shared" si="0"/>
        <v>447.88461538461542</v>
      </c>
      <c r="C47" s="34" t="s">
        <v>111</v>
      </c>
      <c r="D47" s="174"/>
    </row>
    <row r="48" spans="1:7">
      <c r="A48" s="171" t="s">
        <v>75</v>
      </c>
      <c r="B48" s="33">
        <f t="shared" si="0"/>
        <v>184.42307692307691</v>
      </c>
      <c r="C48" s="33">
        <f>B48*10</f>
        <v>1844.2307692307691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6303.0215102556613</v>
      </c>
      <c r="C5" s="17">
        <f>IF(ISERROR('Eigen informatie GS &amp; warmtenet'!B58),0,'Eigen informatie GS &amp; warmtenet'!B58)</f>
        <v>0</v>
      </c>
      <c r="D5" s="30">
        <f>SUM(D6:D12)</f>
        <v>8801.5856159000014</v>
      </c>
      <c r="E5" s="17">
        <f>SUM(E6:E12)</f>
        <v>90.784519704683461</v>
      </c>
      <c r="F5" s="17">
        <f>SUM(F6:F12)</f>
        <v>1101.5230000576144</v>
      </c>
      <c r="G5" s="18"/>
      <c r="H5" s="17"/>
      <c r="I5" s="17"/>
      <c r="J5" s="17">
        <f>SUM(J6:J12)</f>
        <v>1.7102911789322852E-2</v>
      </c>
      <c r="K5" s="17"/>
      <c r="L5" s="17"/>
      <c r="M5" s="17"/>
      <c r="N5" s="17">
        <f>SUM(N6:N12)</f>
        <v>683.67370159642542</v>
      </c>
      <c r="O5" s="17">
        <f>B38*B39*B40</f>
        <v>1.5633333333333335</v>
      </c>
      <c r="P5" s="17">
        <f>B46*B47*B48/1000-B46*B47*B48/1000/B49</f>
        <v>0</v>
      </c>
      <c r="R5" s="32"/>
    </row>
    <row r="6" spans="1:18">
      <c r="A6" s="32" t="s">
        <v>54</v>
      </c>
      <c r="B6" s="37">
        <f>B26</f>
        <v>1842.8577499999999</v>
      </c>
      <c r="C6" s="33"/>
      <c r="D6" s="37">
        <f>IF(ISERROR(TER_kantoor_gas_kWh/1000),0,TER_kantoor_gas_kWh/1000)*0.902</f>
        <v>3461.1466427999999</v>
      </c>
      <c r="E6" s="33">
        <f>$C$26*'E Balans VL '!I12/100/3.6*1000000</f>
        <v>1.1550419452114682E-2</v>
      </c>
      <c r="F6" s="33">
        <f>$C$26*('E Balans VL '!L12+'E Balans VL '!N12)/100/3.6*1000000</f>
        <v>276.93002546825443</v>
      </c>
      <c r="G6" s="34"/>
      <c r="H6" s="33"/>
      <c r="I6" s="33"/>
      <c r="J6" s="33">
        <f>$C$26*('E Balans VL '!D12+'E Balans VL '!E12)/100/3.6*1000000</f>
        <v>0</v>
      </c>
      <c r="K6" s="33"/>
      <c r="L6" s="33"/>
      <c r="M6" s="33"/>
      <c r="N6" s="33">
        <f>$C$26*'E Balans VL '!Y12/100/3.6*1000000</f>
        <v>1.7624202042277637</v>
      </c>
      <c r="O6" s="33"/>
      <c r="P6" s="33"/>
      <c r="R6" s="32"/>
    </row>
    <row r="7" spans="1:18">
      <c r="A7" s="32" t="s">
        <v>53</v>
      </c>
      <c r="B7" s="37">
        <f t="shared" ref="B7:B12" si="0">B27</f>
        <v>923.71667400000001</v>
      </c>
      <c r="C7" s="33"/>
      <c r="D7" s="37">
        <f>IF(ISERROR(TER_horeca_gas_kWh/1000),0,TER_horeca_gas_kWh/1000)*0.902</f>
        <v>1513.5136511000001</v>
      </c>
      <c r="E7" s="33">
        <f>$C$27*'E Balans VL '!I9/100/3.6*1000000</f>
        <v>13.227468909854039</v>
      </c>
      <c r="F7" s="33">
        <f>$C$27*('E Balans VL '!L9+'E Balans VL '!N9)/100/3.6*1000000</f>
        <v>116.97299627801245</v>
      </c>
      <c r="G7" s="34"/>
      <c r="H7" s="33"/>
      <c r="I7" s="33"/>
      <c r="J7" s="33">
        <f>$C$27*('E Balans VL '!D9+'E Balans VL '!E9)/100/3.6*1000000</f>
        <v>0</v>
      </c>
      <c r="K7" s="33"/>
      <c r="L7" s="33"/>
      <c r="M7" s="33"/>
      <c r="N7" s="33">
        <f>$C$27*'E Balans VL '!Y9/100/3.6*1000000</f>
        <v>0.26554817757056648</v>
      </c>
      <c r="O7" s="33"/>
      <c r="P7" s="33"/>
      <c r="R7" s="32"/>
    </row>
    <row r="8" spans="1:18">
      <c r="A8" s="6" t="s">
        <v>52</v>
      </c>
      <c r="B8" s="37">
        <f t="shared" si="0"/>
        <v>2097.8040000000001</v>
      </c>
      <c r="C8" s="33"/>
      <c r="D8" s="37">
        <f>IF(ISERROR(TER_handel_gas_kWh/1000),0,TER_handel_gas_kWh/1000)*0.902</f>
        <v>1605.1730419999999</v>
      </c>
      <c r="E8" s="33">
        <f>$C$28*'E Balans VL '!I13/100/3.6*1000000</f>
        <v>76.087092390400414</v>
      </c>
      <c r="F8" s="33">
        <f>$C$28*('E Balans VL '!L13+'E Balans VL '!N13)/100/3.6*1000000</f>
        <v>404.05829201599988</v>
      </c>
      <c r="G8" s="34"/>
      <c r="H8" s="33"/>
      <c r="I8" s="33"/>
      <c r="J8" s="33">
        <f>$C$28*('E Balans VL '!D13+'E Balans VL '!E13)/100/3.6*1000000</f>
        <v>0</v>
      </c>
      <c r="K8" s="33"/>
      <c r="L8" s="33"/>
      <c r="M8" s="33"/>
      <c r="N8" s="33">
        <f>$C$28*'E Balans VL '!Y13/100/3.6*1000000</f>
        <v>2.9059412231733757</v>
      </c>
      <c r="O8" s="33"/>
      <c r="P8" s="33"/>
      <c r="R8" s="32"/>
    </row>
    <row r="9" spans="1:18">
      <c r="A9" s="32" t="s">
        <v>51</v>
      </c>
      <c r="B9" s="37">
        <f t="shared" si="0"/>
        <v>618.03899999999999</v>
      </c>
      <c r="C9" s="33"/>
      <c r="D9" s="37">
        <f>IF(ISERROR(TER_gezond_gas_kWh/1000),0,TER_gezond_gas_kWh/1000)*0.902</f>
        <v>1390.823566</v>
      </c>
      <c r="E9" s="33">
        <f>$C$29*'E Balans VL '!I10/100/3.6*1000000</f>
        <v>3.8695343432729047E-2</v>
      </c>
      <c r="F9" s="33">
        <f>$C$29*('E Balans VL '!L10+'E Balans VL '!N10)/100/3.6*1000000</f>
        <v>91.811575199546652</v>
      </c>
      <c r="G9" s="34"/>
      <c r="H9" s="33"/>
      <c r="I9" s="33"/>
      <c r="J9" s="33">
        <f>$C$29*('E Balans VL '!D10+'E Balans VL '!E10)/100/3.6*1000000</f>
        <v>0</v>
      </c>
      <c r="K9" s="33"/>
      <c r="L9" s="33"/>
      <c r="M9" s="33"/>
      <c r="N9" s="33">
        <f>$C$29*'E Balans VL '!Y10/100/3.6*1000000</f>
        <v>9.5598868876658347</v>
      </c>
      <c r="O9" s="33"/>
      <c r="P9" s="33"/>
      <c r="R9" s="32"/>
    </row>
    <row r="10" spans="1:18">
      <c r="A10" s="32" t="s">
        <v>50</v>
      </c>
      <c r="B10" s="37">
        <f t="shared" si="0"/>
        <v>786.69233400000007</v>
      </c>
      <c r="C10" s="33"/>
      <c r="D10" s="37">
        <f>IF(ISERROR(TER_ander_gas_kWh/1000),0,TER_ander_gas_kWh/1000)*0.902</f>
        <v>725.7176300000001</v>
      </c>
      <c r="E10" s="33">
        <f>$C$30*'E Balans VL '!I14/100/3.6*1000000</f>
        <v>0.93770915049401449</v>
      </c>
      <c r="F10" s="33">
        <f>$C$30*('E Balans VL '!L14+'E Balans VL '!N14)/100/3.6*1000000</f>
        <v>205.83368816863364</v>
      </c>
      <c r="G10" s="34"/>
      <c r="H10" s="33"/>
      <c r="I10" s="33"/>
      <c r="J10" s="33">
        <f>$C$30*('E Balans VL '!D14+'E Balans VL '!E14)/100/3.6*1000000</f>
        <v>1.707600682233907E-2</v>
      </c>
      <c r="K10" s="33"/>
      <c r="L10" s="33"/>
      <c r="M10" s="33"/>
      <c r="N10" s="33">
        <f>$C$30*'E Balans VL '!Y14/100/3.6*1000000</f>
        <v>668.03987994235138</v>
      </c>
      <c r="O10" s="33"/>
      <c r="P10" s="33"/>
      <c r="R10" s="32"/>
    </row>
    <row r="11" spans="1:18">
      <c r="A11" s="32" t="s">
        <v>55</v>
      </c>
      <c r="B11" s="37">
        <f t="shared" si="0"/>
        <v>22.800999999999998</v>
      </c>
      <c r="C11" s="33"/>
      <c r="D11" s="37">
        <f>IF(ISERROR(TER_onderwijs_gas_kWh/1000),0,TER_onderwijs_gas_kWh/1000)*0.902</f>
        <v>105.211084</v>
      </c>
      <c r="E11" s="33">
        <f>$C$31*'E Balans VL '!I11/100/3.6*1000000</f>
        <v>0.3440303654973782</v>
      </c>
      <c r="F11" s="33">
        <f>$C$31*('E Balans VL '!L11+'E Balans VL '!N11)/100/3.6*1000000</f>
        <v>3.9950994568115186</v>
      </c>
      <c r="G11" s="34"/>
      <c r="H11" s="33"/>
      <c r="I11" s="33"/>
      <c r="J11" s="33">
        <f>$C$31*('E Balans VL '!D11+'E Balans VL '!E11)/100/3.6*1000000</f>
        <v>0</v>
      </c>
      <c r="K11" s="33"/>
      <c r="L11" s="33"/>
      <c r="M11" s="33"/>
      <c r="N11" s="33">
        <f>$C$31*'E Balans VL '!Y11/100/3.6*1000000</f>
        <v>6.4163747398031046E-2</v>
      </c>
      <c r="O11" s="33"/>
      <c r="P11" s="33"/>
      <c r="R11" s="32"/>
    </row>
    <row r="12" spans="1:18">
      <c r="A12" s="32" t="s">
        <v>260</v>
      </c>
      <c r="B12" s="37">
        <f t="shared" si="0"/>
        <v>11.11075225566</v>
      </c>
      <c r="C12" s="33"/>
      <c r="D12" s="37">
        <f>IF(ISERROR(TER_rest_gas_kWh/1000),0,TER_rest_gas_kWh/1000)*0.902</f>
        <v>0</v>
      </c>
      <c r="E12" s="33">
        <f>$C$32*'E Balans VL '!I8/100/3.6*1000000</f>
        <v>0.13797312555275876</v>
      </c>
      <c r="F12" s="33">
        <f>$C$32*('E Balans VL '!L8+'E Balans VL '!N8)/100/3.6*1000000</f>
        <v>1.9213234703559634</v>
      </c>
      <c r="G12" s="34"/>
      <c r="H12" s="33"/>
      <c r="I12" s="33"/>
      <c r="J12" s="33">
        <f>$C$32*('E Balans VL '!D8+'E Balans VL '!E8)/100/3.6*1000000</f>
        <v>2.6904966983781464E-5</v>
      </c>
      <c r="K12" s="33"/>
      <c r="L12" s="33"/>
      <c r="M12" s="33"/>
      <c r="N12" s="33">
        <f>$C$32*'E Balans VL '!Y8/100/3.6*1000000</f>
        <v>1.0758614140383469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6303.0215102556613</v>
      </c>
      <c r="C16" s="21">
        <f t="shared" ca="1" si="1"/>
        <v>0</v>
      </c>
      <c r="D16" s="21">
        <f t="shared" ca="1" si="1"/>
        <v>8801.5856159000014</v>
      </c>
      <c r="E16" s="21">
        <f t="shared" si="1"/>
        <v>90.784519704683461</v>
      </c>
      <c r="F16" s="21">
        <f t="shared" ca="1" si="1"/>
        <v>1101.5230000576144</v>
      </c>
      <c r="G16" s="21">
        <f t="shared" si="1"/>
        <v>0</v>
      </c>
      <c r="H16" s="21">
        <f t="shared" si="1"/>
        <v>0</v>
      </c>
      <c r="I16" s="21">
        <f t="shared" si="1"/>
        <v>0</v>
      </c>
      <c r="J16" s="21">
        <f t="shared" si="1"/>
        <v>1.7102911789322852E-2</v>
      </c>
      <c r="K16" s="21">
        <f t="shared" si="1"/>
        <v>0</v>
      </c>
      <c r="L16" s="21">
        <f t="shared" ca="1" si="1"/>
        <v>0</v>
      </c>
      <c r="M16" s="21">
        <f t="shared" si="1"/>
        <v>0</v>
      </c>
      <c r="N16" s="21">
        <f t="shared" ca="1" si="1"/>
        <v>683.67370159642542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0.19646457499604753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1238.3204422033241</v>
      </c>
      <c r="C20" s="23">
        <f t="shared" ref="C20:P20" ca="1" si="2">C16*C18</f>
        <v>0</v>
      </c>
      <c r="D20" s="23">
        <f t="shared" ca="1" si="2"/>
        <v>1777.9202944118003</v>
      </c>
      <c r="E20" s="23">
        <f t="shared" si="2"/>
        <v>20.608085972963146</v>
      </c>
      <c r="F20" s="23">
        <f t="shared" ca="1" si="2"/>
        <v>294.10664101538305</v>
      </c>
      <c r="G20" s="23">
        <f t="shared" si="2"/>
        <v>0</v>
      </c>
      <c r="H20" s="23">
        <f t="shared" si="2"/>
        <v>0</v>
      </c>
      <c r="I20" s="23">
        <f t="shared" si="2"/>
        <v>0</v>
      </c>
      <c r="J20" s="23">
        <f t="shared" si="2"/>
        <v>6.0544307734202892E-3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1842.8577499999999</v>
      </c>
      <c r="C26" s="39">
        <f>IF(ISERROR(B26*3.6/1000000/'E Balans VL '!Z12*100),0,B26*3.6/1000000/'E Balans VL '!Z12*100)</f>
        <v>3.8955093512515519E-2</v>
      </c>
      <c r="D26" s="237" t="s">
        <v>754</v>
      </c>
      <c r="F26" s="6"/>
    </row>
    <row r="27" spans="1:18">
      <c r="A27" s="231" t="s">
        <v>53</v>
      </c>
      <c r="B27" s="33">
        <f>IF(ISERROR(TER_horeca_ele_kWh/1000),0,TER_horeca_ele_kWh/1000)</f>
        <v>923.71667400000001</v>
      </c>
      <c r="C27" s="39">
        <f>IF(ISERROR(B27*3.6/1000000/'E Balans VL '!Z9*100),0,B27*3.6/1000000/'E Balans VL '!Z9*100)</f>
        <v>7.2816241124639122E-2</v>
      </c>
      <c r="D27" s="237" t="s">
        <v>754</v>
      </c>
      <c r="F27" s="6"/>
    </row>
    <row r="28" spans="1:18">
      <c r="A28" s="171" t="s">
        <v>52</v>
      </c>
      <c r="B28" s="33">
        <f>IF(ISERROR(TER_handel_ele_kWh/1000),0,TER_handel_ele_kWh/1000)</f>
        <v>2097.8040000000001</v>
      </c>
      <c r="C28" s="39">
        <f>IF(ISERROR(B28*3.6/1000000/'E Balans VL '!Z13*100),0,B28*3.6/1000000/'E Balans VL '!Z13*100)</f>
        <v>6.0886748157956284E-2</v>
      </c>
      <c r="D28" s="237" t="s">
        <v>754</v>
      </c>
      <c r="F28" s="6"/>
    </row>
    <row r="29" spans="1:18">
      <c r="A29" s="231" t="s">
        <v>51</v>
      </c>
      <c r="B29" s="33">
        <f>IF(ISERROR(TER_gezond_ele_kWh/1000),0,TER_gezond_ele_kWh/1000)</f>
        <v>618.03899999999999</v>
      </c>
      <c r="C29" s="39">
        <f>IF(ISERROR(B29*3.6/1000000/'E Balans VL '!Z10*100),0,B29*3.6/1000000/'E Balans VL '!Z10*100)</f>
        <v>6.5089655168260332E-2</v>
      </c>
      <c r="D29" s="237" t="s">
        <v>754</v>
      </c>
      <c r="F29" s="6"/>
    </row>
    <row r="30" spans="1:18">
      <c r="A30" s="231" t="s">
        <v>50</v>
      </c>
      <c r="B30" s="33">
        <f>IF(ISERROR(TER_ander_ele_kWh/1000),0,TER_ander_ele_kWh/1000)</f>
        <v>786.69233400000007</v>
      </c>
      <c r="C30" s="39">
        <f>IF(ISERROR(B30*3.6/1000000/'E Balans VL '!Z14*100),0,B30*3.6/1000000/'E Balans VL '!Z14*100)</f>
        <v>5.8026597424564993E-2</v>
      </c>
      <c r="D30" s="237" t="s">
        <v>754</v>
      </c>
      <c r="F30" s="6"/>
    </row>
    <row r="31" spans="1:18">
      <c r="A31" s="231" t="s">
        <v>55</v>
      </c>
      <c r="B31" s="33">
        <f>IF(ISERROR(TER_onderwijs_ele_kWh/1000),0,TER_onderwijs_ele_kWh/1000)</f>
        <v>22.800999999999998</v>
      </c>
      <c r="C31" s="39">
        <f>IF(ISERROR(B31*3.6/1000000/'E Balans VL '!Z11*100),0,B31*3.6/1000000/'E Balans VL '!Z11*100)</f>
        <v>5.6625563617403556E-3</v>
      </c>
      <c r="D31" s="237" t="s">
        <v>754</v>
      </c>
    </row>
    <row r="32" spans="1:18">
      <c r="A32" s="231" t="s">
        <v>260</v>
      </c>
      <c r="B32" s="33">
        <f>IF(ISERROR(TER_rest_ele_kWh/1000),0,TER_rest_ele_kWh/1000)</f>
        <v>11.11075225566</v>
      </c>
      <c r="C32" s="39">
        <f>IF(ISERROR(B32*3.6/1000000/'E Balans VL '!Z8*100),0,B32*3.6/1000000/'E Balans VL '!Z8*100)</f>
        <v>9.1426743039638012E-5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1158.387289</v>
      </c>
      <c r="C5" s="17">
        <f>IF(ISERROR('Eigen informatie GS &amp; warmtenet'!B59),0,'Eigen informatie GS &amp; warmtenet'!B59)</f>
        <v>0</v>
      </c>
      <c r="D5" s="30">
        <f>SUM(D6:D15)</f>
        <v>1677.7271708999999</v>
      </c>
      <c r="E5" s="17">
        <f>SUM(E6:E15)</f>
        <v>200.86302120645681</v>
      </c>
      <c r="F5" s="17">
        <f>SUM(F6:F15)</f>
        <v>572.2077854621873</v>
      </c>
      <c r="G5" s="18"/>
      <c r="H5" s="17"/>
      <c r="I5" s="17"/>
      <c r="J5" s="17">
        <f>SUM(J6:J15)</f>
        <v>0</v>
      </c>
      <c r="K5" s="17"/>
      <c r="L5" s="17"/>
      <c r="M5" s="17"/>
      <c r="N5" s="17">
        <f>SUM(N6:N15)</f>
        <v>247.41895271430909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54.234000000000002</v>
      </c>
      <c r="C8" s="33"/>
      <c r="D8" s="37">
        <f>IF( ISERROR(IND_metaal_Gas_kWH/1000),0,IND_metaal_Gas_kWH/1000)*0.902</f>
        <v>87.851191999999998</v>
      </c>
      <c r="E8" s="33">
        <f>C30*'E Balans VL '!I18/100/3.6*1000000</f>
        <v>0.4986292503046677</v>
      </c>
      <c r="F8" s="33">
        <f>C30*'E Balans VL '!L18/100/3.6*1000000+C30*'E Balans VL '!N18/100/3.6*1000000</f>
        <v>5.0853435673655865</v>
      </c>
      <c r="G8" s="34"/>
      <c r="H8" s="33"/>
      <c r="I8" s="33"/>
      <c r="J8" s="40">
        <f>C30*'E Balans VL '!D18/100/3.6*1000000+C30*'E Balans VL '!E18/100/3.6*1000000</f>
        <v>0</v>
      </c>
      <c r="K8" s="33"/>
      <c r="L8" s="33"/>
      <c r="M8" s="33"/>
      <c r="N8" s="33">
        <f>C30*'E Balans VL '!Y18/100/3.6*1000000</f>
        <v>0.77373763545922203</v>
      </c>
      <c r="O8" s="33"/>
      <c r="P8" s="33"/>
      <c r="R8" s="32"/>
    </row>
    <row r="9" spans="1:18">
      <c r="A9" s="6" t="s">
        <v>33</v>
      </c>
      <c r="B9" s="37">
        <f t="shared" si="0"/>
        <v>682.12459699999999</v>
      </c>
      <c r="C9" s="33"/>
      <c r="D9" s="37">
        <f>IF( ISERROR(IND_andere_gas_kWh/1000),0,IND_andere_gas_kWh/1000)*0.902</f>
        <v>1058.0288169</v>
      </c>
      <c r="E9" s="33">
        <f>C31*'E Balans VL '!I19/100/3.6*1000000</f>
        <v>199.39829910270743</v>
      </c>
      <c r="F9" s="33">
        <f>C31*'E Balans VL '!L19/100/3.6*1000000+C31*'E Balans VL '!N19/100/3.6*1000000</f>
        <v>548.13874577723095</v>
      </c>
      <c r="G9" s="34"/>
      <c r="H9" s="33"/>
      <c r="I9" s="33"/>
      <c r="J9" s="40">
        <f>C31*'E Balans VL '!D19/100/3.6*1000000+C31*'E Balans VL '!E19/100/3.6*1000000</f>
        <v>0</v>
      </c>
      <c r="K9" s="33"/>
      <c r="L9" s="33"/>
      <c r="M9" s="33"/>
      <c r="N9" s="33">
        <f>C31*'E Balans VL '!Y19/100/3.6*1000000</f>
        <v>225.38454585124759</v>
      </c>
      <c r="O9" s="33"/>
      <c r="P9" s="33"/>
      <c r="R9" s="32"/>
    </row>
    <row r="10" spans="1:18">
      <c r="A10" s="6" t="s">
        <v>41</v>
      </c>
      <c r="B10" s="37">
        <f t="shared" si="0"/>
        <v>239.56700000000001</v>
      </c>
      <c r="C10" s="33"/>
      <c r="D10" s="37">
        <f>IF( ISERROR(IND_voed_gas_kWh/1000),0,IND_voed_gas_kWh/1000)*0.902</f>
        <v>311.65904</v>
      </c>
      <c r="E10" s="33">
        <f>C32*'E Balans VL '!I20/100/3.6*1000000</f>
        <v>0.5068077030303294</v>
      </c>
      <c r="F10" s="33">
        <f>C32*'E Balans VL '!L20/100/3.6*1000000+C32*'E Balans VL '!N20/100/3.6*1000000</f>
        <v>15.231914570514475</v>
      </c>
      <c r="G10" s="34"/>
      <c r="H10" s="33"/>
      <c r="I10" s="33"/>
      <c r="J10" s="40">
        <f>C32*'E Balans VL '!D20/100/3.6*1000000+C32*'E Balans VL '!E20/100/3.6*1000000</f>
        <v>0</v>
      </c>
      <c r="K10" s="33"/>
      <c r="L10" s="33"/>
      <c r="M10" s="33"/>
      <c r="N10" s="33">
        <f>C32*'E Balans VL '!Y20/100/3.6*1000000</f>
        <v>16.532487104921916</v>
      </c>
      <c r="O10" s="33"/>
      <c r="P10" s="33"/>
      <c r="R10" s="32"/>
    </row>
    <row r="11" spans="1:18">
      <c r="A11" s="6" t="s">
        <v>40</v>
      </c>
      <c r="B11" s="37">
        <f t="shared" si="0"/>
        <v>19.907</v>
      </c>
      <c r="C11" s="33"/>
      <c r="D11" s="37">
        <f>IF( ISERROR(IND_textiel_gas_kWh/1000),0,IND_textiel_gas_kWh/1000)*0.902</f>
        <v>0</v>
      </c>
      <c r="E11" s="33">
        <f>C33*'E Balans VL '!I21/100/3.6*1000000</f>
        <v>5.9122073686651511E-2</v>
      </c>
      <c r="F11" s="33">
        <f>C33*'E Balans VL '!L21/100/3.6*1000000+C33*'E Balans VL '!N21/100/3.6*1000000</f>
        <v>2.0111535290994134</v>
      </c>
      <c r="G11" s="34"/>
      <c r="H11" s="33"/>
      <c r="I11" s="33"/>
      <c r="J11" s="40">
        <f>C33*'E Balans VL '!D21/100/3.6*1000000+C33*'E Balans VL '!E21/100/3.6*1000000</f>
        <v>0</v>
      </c>
      <c r="K11" s="33"/>
      <c r="L11" s="33"/>
      <c r="M11" s="33"/>
      <c r="N11" s="33">
        <f>C33*'E Balans VL '!Y21/100/3.6*1000000</f>
        <v>1.0979345802890803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162.55469200000002</v>
      </c>
      <c r="C14" s="33"/>
      <c r="D14" s="37">
        <f>IF( ISERROR(IND_chemie_gas_kWh/1000),0,IND_chemie_gas_kWh/1000)*0.902</f>
        <v>197.39638600000001</v>
      </c>
      <c r="E14" s="33">
        <f>C36*'E Balans VL '!I24/100/3.6*1000000</f>
        <v>0.40016307672774604</v>
      </c>
      <c r="F14" s="33">
        <f>C36*'E Balans VL '!L24/100/3.6*1000000+C36*'E Balans VL '!N24/100/3.6*1000000</f>
        <v>1.7406280179768476</v>
      </c>
      <c r="G14" s="34"/>
      <c r="H14" s="33"/>
      <c r="I14" s="33"/>
      <c r="J14" s="40">
        <f>C36*'E Balans VL '!D24/100/3.6*1000000+C36*'E Balans VL '!E24/100/3.6*1000000</f>
        <v>0</v>
      </c>
      <c r="K14" s="33"/>
      <c r="L14" s="33"/>
      <c r="M14" s="33"/>
      <c r="N14" s="33">
        <f>C36*'E Balans VL '!Y24/100/3.6*1000000</f>
        <v>3.6302475423912726</v>
      </c>
      <c r="O14" s="33"/>
      <c r="P14" s="33"/>
      <c r="R14" s="32"/>
    </row>
    <row r="15" spans="1:18">
      <c r="A15" s="6" t="s">
        <v>270</v>
      </c>
      <c r="B15" s="37">
        <f t="shared" si="0"/>
        <v>0</v>
      </c>
      <c r="C15" s="33"/>
      <c r="D15" s="37">
        <f>IF( ISERROR(IND_rest_gas_kWh/1000),0,IND_rest_gas_kWh/1000)*0.902</f>
        <v>22.791736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1158.387289</v>
      </c>
      <c r="C18" s="21">
        <f>C5+C16</f>
        <v>0</v>
      </c>
      <c r="D18" s="21">
        <f>MAX((D5+D16),0)</f>
        <v>1677.7271708999999</v>
      </c>
      <c r="E18" s="21">
        <f>MAX((E5+E16),0)</f>
        <v>200.86302120645681</v>
      </c>
      <c r="F18" s="21">
        <f>MAX((F5+F16),0)</f>
        <v>572.2077854621873</v>
      </c>
      <c r="G18" s="21"/>
      <c r="H18" s="21"/>
      <c r="I18" s="21"/>
      <c r="J18" s="21">
        <f>MAX((J5+J16),0)</f>
        <v>0</v>
      </c>
      <c r="K18" s="21"/>
      <c r="L18" s="21">
        <f>MAX((L5+L16),0)</f>
        <v>0</v>
      </c>
      <c r="M18" s="21"/>
      <c r="N18" s="21">
        <f>MAX((N5+N16),0)</f>
        <v>247.41895271430909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0.19646457499604753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227.58206641420867</v>
      </c>
      <c r="C22" s="23">
        <f ca="1">C18*C20</f>
        <v>0</v>
      </c>
      <c r="D22" s="23">
        <f>D18*D20</f>
        <v>338.90088852180003</v>
      </c>
      <c r="E22" s="23">
        <f>E18*E20</f>
        <v>45.595905813865699</v>
      </c>
      <c r="F22" s="23">
        <f>F18*F20</f>
        <v>152.77947871840402</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54.234000000000002</v>
      </c>
      <c r="C30" s="39">
        <f>IF(ISERROR(B30*3.6/1000000/'E Balans VL '!Z18*100),0,B30*3.6/1000000/'E Balans VL '!Z18*100)</f>
        <v>3.0735798450715291E-3</v>
      </c>
      <c r="D30" s="237" t="s">
        <v>754</v>
      </c>
    </row>
    <row r="31" spans="1:18">
      <c r="A31" s="6" t="s">
        <v>33</v>
      </c>
      <c r="B31" s="37">
        <f>IF( ISERROR(IND_ander_ele_kWh/1000),0,IND_ander_ele_kWh/1000)</f>
        <v>682.12459699999999</v>
      </c>
      <c r="C31" s="39">
        <f>IF(ISERROR(B31*3.6/1000000/'E Balans VL '!Z19*100),0,B31*3.6/1000000/'E Balans VL '!Z19*100)</f>
        <v>3.0938331402532951E-2</v>
      </c>
      <c r="D31" s="237" t="s">
        <v>754</v>
      </c>
    </row>
    <row r="32" spans="1:18">
      <c r="A32" s="171" t="s">
        <v>41</v>
      </c>
      <c r="B32" s="37">
        <f>IF( ISERROR(IND_voed_ele_kWh/1000),0,IND_voed_ele_kWh/1000)</f>
        <v>239.56700000000001</v>
      </c>
      <c r="C32" s="39">
        <f>IF(ISERROR(B32*3.6/1000000/'E Balans VL '!Z20*100),0,B32*3.6/1000000/'E Balans VL '!Z20*100)</f>
        <v>7.4108948523528249E-3</v>
      </c>
      <c r="D32" s="237" t="s">
        <v>754</v>
      </c>
    </row>
    <row r="33" spans="1:5">
      <c r="A33" s="171" t="s">
        <v>40</v>
      </c>
      <c r="B33" s="37">
        <f>IF( ISERROR(IND_textiel_ele_kWh/1000),0,IND_textiel_ele_kWh/1000)</f>
        <v>19.907</v>
      </c>
      <c r="C33" s="39">
        <f>IF(ISERROR(B33*3.6/1000000/'E Balans VL '!Z21*100),0,B33*3.6/1000000/'E Balans VL '!Z21*100)</f>
        <v>2.5956515224275158E-3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162.55469200000002</v>
      </c>
      <c r="C36" s="39">
        <f>IF(ISERROR(B36*3.6/1000000/'E Balans VL '!Z24*100),0,B36*3.6/1000000/'E Balans VL '!Z24*100)</f>
        <v>4.9569468202332592E-3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280.733</v>
      </c>
      <c r="C5" s="17">
        <f>'Eigen informatie GS &amp; warmtenet'!B60</f>
        <v>0</v>
      </c>
      <c r="D5" s="30">
        <f>IF(ISERROR(SUM(LB_lb_gas_kWh,LB_rest_gas_kWh,onbekend_gas_kWh)/1000),0,SUM(LB_lb_gas_kWh,LB_rest_gas_kWh,onbekend_gas_kWh)/1000)*0.902</f>
        <v>654.54495919999999</v>
      </c>
      <c r="E5" s="17">
        <f>B17*'E Balans VL '!I25/3.6*1000000/100</f>
        <v>8.251600327551035</v>
      </c>
      <c r="F5" s="17">
        <f>B17*('E Balans VL '!L25/3.6*1000000+'E Balans VL '!N25/3.6*1000000)/100</f>
        <v>1169.5185079849186</v>
      </c>
      <c r="G5" s="18"/>
      <c r="H5" s="17"/>
      <c r="I5" s="17"/>
      <c r="J5" s="17">
        <f>('E Balans VL '!D25+'E Balans VL '!E25)/3.6*1000000*landbouw!B17/100</f>
        <v>40.672182889813882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280.733</v>
      </c>
      <c r="C8" s="21">
        <f>C5+C6</f>
        <v>0</v>
      </c>
      <c r="D8" s="21">
        <f>MAX((D5+D6),0)</f>
        <v>654.54495919999999</v>
      </c>
      <c r="E8" s="21">
        <f>MAX((E5+E6),0)</f>
        <v>8.251600327551035</v>
      </c>
      <c r="F8" s="21">
        <f>MAX((F5+F6),0)</f>
        <v>1169.5185079849186</v>
      </c>
      <c r="G8" s="21"/>
      <c r="H8" s="21"/>
      <c r="I8" s="21"/>
      <c r="J8" s="21">
        <f>MAX((J5+J6),0)</f>
        <v>40.672182889813882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0.19646457499604753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55.154089532365411</v>
      </c>
      <c r="C12" s="23">
        <f ca="1">C8*C10</f>
        <v>0</v>
      </c>
      <c r="D12" s="23">
        <f>D8*D10</f>
        <v>132.21808175840002</v>
      </c>
      <c r="E12" s="23">
        <f>E8*E10</f>
        <v>1.873113274354085</v>
      </c>
      <c r="F12" s="23">
        <f>F8*F10</f>
        <v>312.2614416319733</v>
      </c>
      <c r="G12" s="23"/>
      <c r="H12" s="23"/>
      <c r="I12" s="23"/>
      <c r="J12" s="23">
        <f>J8*J10</f>
        <v>14.397952742994114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3.9836893472926661E-2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17.754999163198391</v>
      </c>
      <c r="C26" s="247">
        <f>B26*'GWP N2O_CH4'!B5</f>
        <v>372.85498242716619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12.617155024922544</v>
      </c>
      <c r="C27" s="247">
        <f>B27*'GWP N2O_CH4'!B5</f>
        <v>264.96025552337341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1.5794338283988723</v>
      </c>
      <c r="C28" s="247">
        <f>B28*'GWP N2O_CH4'!B4</f>
        <v>489.62448680365037</v>
      </c>
      <c r="D28" s="50"/>
    </row>
    <row r="29" spans="1:4">
      <c r="A29" s="41" t="s">
        <v>277</v>
      </c>
      <c r="B29" s="247">
        <f>B34*'ha_N2O bodem landbouw'!B4</f>
        <v>1.0249931102559326</v>
      </c>
      <c r="C29" s="247">
        <f>B29*'GWP N2O_CH4'!B4</f>
        <v>317.7478641793391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2.3389989547700492E-4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1.0306441865043091E-4</v>
      </c>
      <c r="C5" s="463" t="s">
        <v>211</v>
      </c>
      <c r="D5" s="448">
        <f>SUM(D6:D11)</f>
        <v>3.6362271559431668E-4</v>
      </c>
      <c r="E5" s="448">
        <f>SUM(E6:E11)</f>
        <v>5.4775032257064278E-4</v>
      </c>
      <c r="F5" s="461" t="s">
        <v>211</v>
      </c>
      <c r="G5" s="448">
        <f>SUM(G6:G11)</f>
        <v>0.24337665802191233</v>
      </c>
      <c r="H5" s="448">
        <f>SUM(H6:H11)</f>
        <v>4.1919725361804071E-2</v>
      </c>
      <c r="I5" s="463" t="s">
        <v>211</v>
      </c>
      <c r="J5" s="463" t="s">
        <v>211</v>
      </c>
      <c r="K5" s="463" t="s">
        <v>211</v>
      </c>
      <c r="L5" s="463" t="s">
        <v>211</v>
      </c>
      <c r="M5" s="448">
        <f>SUM(M6:M11)</f>
        <v>1.5463689740267898E-2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2.4531745155856516E-5</v>
      </c>
      <c r="C6" s="449"/>
      <c r="D6" s="962">
        <f>vkm_2011_GW_PW*SUMIFS(TableVerdeelsleutelVkm[CNG],TableVerdeelsleutelVkm[Voertuigtype],"Lichte voertuigen")*SUMIFS(TableECFTransport[EnergieConsumptieFactor (PJ per km)],TableECFTransport[Index],CONCATENATE($A6,"_CNG_CNG"))</f>
        <v>7.3581155526575409E-5</v>
      </c>
      <c r="E6" s="962">
        <f>vkm_2011_GW_PW*SUMIFS(TableVerdeelsleutelVkm[LPG],TableVerdeelsleutelVkm[Voertuigtype],"Lichte voertuigen")*SUMIFS(TableECFTransport[EnergieConsumptieFactor (PJ per km)],TableECFTransport[Index],CONCATENATE($A6,"_LPG_LPG"))</f>
        <v>1.0052242786140894E-4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2.5990491825246185E-2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8.367545984335591E-3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1.7668297724826147E-3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1.3255370504154212E-2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4.0392609633504306E-6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7.7459983779694667E-4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1.9878560220915964E-5</v>
      </c>
      <c r="C8" s="449"/>
      <c r="D8" s="451">
        <f>vkm_2011_NGW_PW*SUMIFS(TableVerdeelsleutelVkm[CNG],TableVerdeelsleutelVkm[Voertuigtype],"Lichte voertuigen")*SUMIFS(TableECFTransport[EnergieConsumptieFactor (PJ per km)],TableECFTransport[Index],CONCATENATE($A8,"_CNG_CNG"))</f>
        <v>1.0601262249412798E-4</v>
      </c>
      <c r="E8" s="451">
        <f>vkm_2011_NGW_PW*SUMIFS(TableVerdeelsleutelVkm[LPG],TableVerdeelsleutelVkm[Voertuigtype],"Lichte voertuigen")*SUMIFS(TableECFTransport[EnergieConsumptieFactor (PJ per km)],TableECFTransport[Index],CONCATENATE($A8,"_LPG_LPG"))</f>
        <v>1.3412759772933161E-4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3.2317390023012087E-2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1.1715409483044611E-2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2.2358272534950584E-3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1.2178924602966228E-3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3.4938112166803536E-7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7.1168946253099877E-5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5.8654113273658416E-5</v>
      </c>
      <c r="C10" s="449"/>
      <c r="D10" s="451">
        <f>vkm_2011_SW_PW*SUMIFS(TableVerdeelsleutelVkm[CNG],TableVerdeelsleutelVkm[Voertuigtype],"Lichte voertuigen")*SUMIFS(TableECFTransport[EnergieConsumptieFactor (PJ per km)],TableECFTransport[Index],CONCATENATE($A10,"_CNG_CNG"))</f>
        <v>1.8402893757361329E-4</v>
      </c>
      <c r="E10" s="451">
        <f>vkm_2011_SW_PW*SUMIFS(TableVerdeelsleutelVkm[LPG],TableVerdeelsleutelVkm[Voertuigtype],"Lichte voertuigen")*SUMIFS(TableECFTransport[EnergieConsumptieFactor (PJ per km)],TableECFTransport[Index],CONCATENATE($A10,"_LPG_LPG"))</f>
        <v>3.1310029697990223E-4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7.2170327844454901E-2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2.1799992381359497E-2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4.8635518250256197E-3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9.8425185364748299E-2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3.2388870979354546E-5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5.7517121052145575E-3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28.62900518067525</v>
      </c>
      <c r="C14" s="21"/>
      <c r="D14" s="21">
        <f t="shared" ref="D14:M14" si="0">((D5)*10^9/3600)+D12</f>
        <v>101.00630988731018</v>
      </c>
      <c r="E14" s="21">
        <f t="shared" si="0"/>
        <v>152.15286738073411</v>
      </c>
      <c r="F14" s="21"/>
      <c r="G14" s="21">
        <f t="shared" si="0"/>
        <v>67604.627228308978</v>
      </c>
      <c r="H14" s="21">
        <f t="shared" si="0"/>
        <v>11644.368156056686</v>
      </c>
      <c r="I14" s="21"/>
      <c r="J14" s="21"/>
      <c r="K14" s="21"/>
      <c r="L14" s="21"/>
      <c r="M14" s="21">
        <f t="shared" si="0"/>
        <v>4295.4693722966385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0.19646457499604753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5.6245853353810062</v>
      </c>
      <c r="C18" s="23"/>
      <c r="D18" s="23">
        <f t="shared" ref="D18:M18" si="1">D14*D16</f>
        <v>20.403274597236656</v>
      </c>
      <c r="E18" s="23">
        <f t="shared" si="1"/>
        <v>34.538700895426643</v>
      </c>
      <c r="F18" s="23"/>
      <c r="G18" s="23">
        <f t="shared" si="1"/>
        <v>18050.435469958498</v>
      </c>
      <c r="H18" s="23">
        <f t="shared" si="1"/>
        <v>2899.4476708581146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4.3527537534390265E-3</v>
      </c>
      <c r="H50" s="321">
        <f t="shared" si="2"/>
        <v>0</v>
      </c>
      <c r="I50" s="321">
        <f t="shared" si="2"/>
        <v>0</v>
      </c>
      <c r="J50" s="321">
        <f t="shared" si="2"/>
        <v>0</v>
      </c>
      <c r="K50" s="321">
        <f t="shared" si="2"/>
        <v>0</v>
      </c>
      <c r="L50" s="321">
        <f t="shared" si="2"/>
        <v>0</v>
      </c>
      <c r="M50" s="321">
        <f t="shared" si="2"/>
        <v>2.4721719763140895E-4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4.3527537534390265E-3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2.4721719763140895E-4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1209.0982648441741</v>
      </c>
      <c r="H54" s="21">
        <f t="shared" si="3"/>
        <v>0</v>
      </c>
      <c r="I54" s="21">
        <f t="shared" si="3"/>
        <v>0</v>
      </c>
      <c r="J54" s="21">
        <f t="shared" si="3"/>
        <v>0</v>
      </c>
      <c r="K54" s="21">
        <f t="shared" si="3"/>
        <v>0</v>
      </c>
      <c r="L54" s="21">
        <f t="shared" si="3"/>
        <v>0</v>
      </c>
      <c r="M54" s="21">
        <f t="shared" si="3"/>
        <v>68.671443786502493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0.19646457499604753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322.82923671339449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2883.1495351640719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2883.1495351640719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6849.8025102556612</v>
      </c>
      <c r="D10" s="718">
        <f ca="1">tertiair!C16</f>
        <v>0</v>
      </c>
      <c r="E10" s="718">
        <f ca="1">tertiair!D16</f>
        <v>8801.5856159000014</v>
      </c>
      <c r="F10" s="718">
        <f>tertiair!E16</f>
        <v>90.784519704683461</v>
      </c>
      <c r="G10" s="718">
        <f ca="1">tertiair!F16</f>
        <v>1101.5230000576144</v>
      </c>
      <c r="H10" s="718">
        <f>tertiair!G16</f>
        <v>0</v>
      </c>
      <c r="I10" s="718">
        <f>tertiair!H16</f>
        <v>0</v>
      </c>
      <c r="J10" s="718">
        <f>tertiair!I16</f>
        <v>0</v>
      </c>
      <c r="K10" s="718">
        <f>tertiair!J16</f>
        <v>1.7102911789322852E-2</v>
      </c>
      <c r="L10" s="718">
        <f>tertiair!K16</f>
        <v>0</v>
      </c>
      <c r="M10" s="718">
        <f ca="1">tertiair!L16</f>
        <v>0</v>
      </c>
      <c r="N10" s="718">
        <f>tertiair!M16</f>
        <v>0</v>
      </c>
      <c r="O10" s="718">
        <f ca="1">tertiair!N16</f>
        <v>683.67370159642542</v>
      </c>
      <c r="P10" s="718">
        <f>tertiair!O16</f>
        <v>1.5633333333333335</v>
      </c>
      <c r="Q10" s="719">
        <f>tertiair!P16</f>
        <v>0</v>
      </c>
      <c r="R10" s="721">
        <f ca="1">SUM(C10:Q10)</f>
        <v>17528.949783759504</v>
      </c>
      <c r="S10" s="67"/>
    </row>
    <row r="11" spans="1:19" s="474" customFormat="1">
      <c r="A11" s="870" t="s">
        <v>225</v>
      </c>
      <c r="B11" s="875"/>
      <c r="C11" s="718">
        <f>huishoudens!B8</f>
        <v>17652.083821138363</v>
      </c>
      <c r="D11" s="718">
        <f>huishoudens!C8</f>
        <v>0</v>
      </c>
      <c r="E11" s="718">
        <f>huishoudens!D8</f>
        <v>55735.184764852565</v>
      </c>
      <c r="F11" s="718">
        <f>huishoudens!E8</f>
        <v>1115.6771198004537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13307.584702798433</v>
      </c>
      <c r="P11" s="718">
        <f>huishoudens!O8</f>
        <v>195.41666666666669</v>
      </c>
      <c r="Q11" s="719">
        <f>huishoudens!P8</f>
        <v>934.26666666666665</v>
      </c>
      <c r="R11" s="721">
        <f>SUM(C11:Q11)</f>
        <v>88940.213741923144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1158.387289</v>
      </c>
      <c r="D13" s="718">
        <f>industrie!C18</f>
        <v>0</v>
      </c>
      <c r="E13" s="718">
        <f>industrie!D18</f>
        <v>1677.7271708999999</v>
      </c>
      <c r="F13" s="718">
        <f>industrie!E18</f>
        <v>200.86302120645681</v>
      </c>
      <c r="G13" s="718">
        <f>industrie!F18</f>
        <v>572.2077854621873</v>
      </c>
      <c r="H13" s="718">
        <f>industrie!G18</f>
        <v>0</v>
      </c>
      <c r="I13" s="718">
        <f>industrie!H18</f>
        <v>0</v>
      </c>
      <c r="J13" s="718">
        <f>industrie!I18</f>
        <v>0</v>
      </c>
      <c r="K13" s="718">
        <f>industrie!J18</f>
        <v>0</v>
      </c>
      <c r="L13" s="718">
        <f>industrie!K18</f>
        <v>0</v>
      </c>
      <c r="M13" s="718">
        <f>industrie!L18</f>
        <v>0</v>
      </c>
      <c r="N13" s="718">
        <f>industrie!M18</f>
        <v>0</v>
      </c>
      <c r="O13" s="718">
        <f>industrie!N18</f>
        <v>247.41895271430909</v>
      </c>
      <c r="P13" s="718">
        <f>industrie!O18</f>
        <v>0</v>
      </c>
      <c r="Q13" s="719">
        <f>industrie!P18</f>
        <v>0</v>
      </c>
      <c r="R13" s="721">
        <f>SUM(C13:Q13)</f>
        <v>3856.6042192829527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25660.273620394022</v>
      </c>
      <c r="D15" s="723">
        <f t="shared" ref="D15:Q15" ca="1" si="0">SUM(D9:D14)</f>
        <v>0</v>
      </c>
      <c r="E15" s="723">
        <f t="shared" ca="1" si="0"/>
        <v>66214.497551652574</v>
      </c>
      <c r="F15" s="723">
        <f t="shared" si="0"/>
        <v>1407.3246607115939</v>
      </c>
      <c r="G15" s="723">
        <f t="shared" ca="1" si="0"/>
        <v>1673.7307855198017</v>
      </c>
      <c r="H15" s="723">
        <f t="shared" si="0"/>
        <v>0</v>
      </c>
      <c r="I15" s="723">
        <f t="shared" si="0"/>
        <v>0</v>
      </c>
      <c r="J15" s="723">
        <f t="shared" si="0"/>
        <v>0</v>
      </c>
      <c r="K15" s="723">
        <f t="shared" si="0"/>
        <v>1.7102911789322852E-2</v>
      </c>
      <c r="L15" s="723">
        <f t="shared" si="0"/>
        <v>0</v>
      </c>
      <c r="M15" s="723">
        <f t="shared" ca="1" si="0"/>
        <v>0</v>
      </c>
      <c r="N15" s="723">
        <f t="shared" si="0"/>
        <v>0</v>
      </c>
      <c r="O15" s="723">
        <f t="shared" ca="1" si="0"/>
        <v>14238.677357109169</v>
      </c>
      <c r="P15" s="723">
        <f t="shared" si="0"/>
        <v>196.98000000000002</v>
      </c>
      <c r="Q15" s="724">
        <f t="shared" si="0"/>
        <v>934.26666666666665</v>
      </c>
      <c r="R15" s="725">
        <f ca="1">SUM(R9:R14)</f>
        <v>110325.76774496559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1209.0982648441741</v>
      </c>
      <c r="I18" s="718">
        <f>transport!H54</f>
        <v>0</v>
      </c>
      <c r="J18" s="718">
        <f>transport!I54</f>
        <v>0</v>
      </c>
      <c r="K18" s="718">
        <f>transport!J54</f>
        <v>0</v>
      </c>
      <c r="L18" s="718">
        <f>transport!K54</f>
        <v>0</v>
      </c>
      <c r="M18" s="718">
        <f>transport!L54</f>
        <v>0</v>
      </c>
      <c r="N18" s="718">
        <f>transport!M54</f>
        <v>68.671443786502493</v>
      </c>
      <c r="O18" s="718">
        <f>transport!N54</f>
        <v>0</v>
      </c>
      <c r="P18" s="718">
        <f>transport!O54</f>
        <v>0</v>
      </c>
      <c r="Q18" s="719">
        <f>transport!P54</f>
        <v>0</v>
      </c>
      <c r="R18" s="721">
        <f>SUM(C18:Q18)</f>
        <v>1277.7697086306766</v>
      </c>
      <c r="S18" s="67"/>
    </row>
    <row r="19" spans="1:19" s="474" customFormat="1" ht="15" thickBot="1">
      <c r="A19" s="870" t="s">
        <v>307</v>
      </c>
      <c r="B19" s="875"/>
      <c r="C19" s="727">
        <f>transport!B14</f>
        <v>28.62900518067525</v>
      </c>
      <c r="D19" s="727">
        <f>transport!C14</f>
        <v>0</v>
      </c>
      <c r="E19" s="727">
        <f>transport!D14</f>
        <v>101.00630988731018</v>
      </c>
      <c r="F19" s="727">
        <f>transport!E14</f>
        <v>152.15286738073411</v>
      </c>
      <c r="G19" s="727">
        <f>transport!F14</f>
        <v>0</v>
      </c>
      <c r="H19" s="727">
        <f>transport!G14</f>
        <v>67604.627228308978</v>
      </c>
      <c r="I19" s="727">
        <f>transport!H14</f>
        <v>11644.368156056686</v>
      </c>
      <c r="J19" s="727">
        <f>transport!I14</f>
        <v>0</v>
      </c>
      <c r="K19" s="727">
        <f>transport!J14</f>
        <v>0</v>
      </c>
      <c r="L19" s="727">
        <f>transport!K14</f>
        <v>0</v>
      </c>
      <c r="M19" s="727">
        <f>transport!L14</f>
        <v>0</v>
      </c>
      <c r="N19" s="727">
        <f>transport!M14</f>
        <v>4295.4693722966385</v>
      </c>
      <c r="O19" s="727">
        <f>transport!N14</f>
        <v>0</v>
      </c>
      <c r="P19" s="727">
        <f>transport!O14</f>
        <v>0</v>
      </c>
      <c r="Q19" s="728">
        <f>transport!P14</f>
        <v>0</v>
      </c>
      <c r="R19" s="729">
        <f>SUM(C19:Q19)</f>
        <v>83826.252939111029</v>
      </c>
      <c r="S19" s="67"/>
    </row>
    <row r="20" spans="1:19" s="474" customFormat="1" ht="15.75" thickBot="1">
      <c r="A20" s="730" t="s">
        <v>230</v>
      </c>
      <c r="B20" s="878"/>
      <c r="C20" s="873">
        <f>SUM(C17:C19)</f>
        <v>28.62900518067525</v>
      </c>
      <c r="D20" s="731">
        <f t="shared" ref="D20:R20" si="1">SUM(D17:D19)</f>
        <v>0</v>
      </c>
      <c r="E20" s="731">
        <f t="shared" si="1"/>
        <v>101.00630988731018</v>
      </c>
      <c r="F20" s="731">
        <f t="shared" si="1"/>
        <v>152.15286738073411</v>
      </c>
      <c r="G20" s="731">
        <f t="shared" si="1"/>
        <v>0</v>
      </c>
      <c r="H20" s="731">
        <f t="shared" si="1"/>
        <v>68813.72549315315</v>
      </c>
      <c r="I20" s="731">
        <f t="shared" si="1"/>
        <v>11644.368156056686</v>
      </c>
      <c r="J20" s="731">
        <f t="shared" si="1"/>
        <v>0</v>
      </c>
      <c r="K20" s="731">
        <f t="shared" si="1"/>
        <v>0</v>
      </c>
      <c r="L20" s="731">
        <f t="shared" si="1"/>
        <v>0</v>
      </c>
      <c r="M20" s="731">
        <f t="shared" si="1"/>
        <v>0</v>
      </c>
      <c r="N20" s="731">
        <f t="shared" si="1"/>
        <v>4364.1408160831406</v>
      </c>
      <c r="O20" s="731">
        <f t="shared" si="1"/>
        <v>0</v>
      </c>
      <c r="P20" s="731">
        <f t="shared" si="1"/>
        <v>0</v>
      </c>
      <c r="Q20" s="732">
        <f t="shared" si="1"/>
        <v>0</v>
      </c>
      <c r="R20" s="733">
        <f t="shared" si="1"/>
        <v>85104.022647741702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280.733</v>
      </c>
      <c r="D22" s="727">
        <f>+landbouw!C8</f>
        <v>0</v>
      </c>
      <c r="E22" s="727">
        <f>+landbouw!D8</f>
        <v>654.54495919999999</v>
      </c>
      <c r="F22" s="727">
        <f>+landbouw!E8</f>
        <v>8.251600327551035</v>
      </c>
      <c r="G22" s="727">
        <f>+landbouw!F8</f>
        <v>1169.5185079849186</v>
      </c>
      <c r="H22" s="727">
        <f>+landbouw!G8</f>
        <v>0</v>
      </c>
      <c r="I22" s="727">
        <f>+landbouw!H8</f>
        <v>0</v>
      </c>
      <c r="J22" s="727">
        <f>+landbouw!I8</f>
        <v>0</v>
      </c>
      <c r="K22" s="727">
        <f>+landbouw!J8</f>
        <v>40.672182889813882</v>
      </c>
      <c r="L22" s="727">
        <f>+landbouw!K8</f>
        <v>0</v>
      </c>
      <c r="M22" s="727">
        <f>+landbouw!L8</f>
        <v>0</v>
      </c>
      <c r="N22" s="727">
        <f>+landbouw!M8</f>
        <v>0</v>
      </c>
      <c r="O22" s="727">
        <f>+landbouw!N8</f>
        <v>0</v>
      </c>
      <c r="P22" s="727">
        <f>+landbouw!O8</f>
        <v>0</v>
      </c>
      <c r="Q22" s="728">
        <f>+landbouw!P8</f>
        <v>0</v>
      </c>
      <c r="R22" s="729">
        <f>SUM(C22:Q22)</f>
        <v>2153.7202504022835</v>
      </c>
      <c r="S22" s="67"/>
    </row>
    <row r="23" spans="1:19" s="474" customFormat="1" ht="17.25" thickTop="1" thickBot="1">
      <c r="A23" s="734" t="s">
        <v>116</v>
      </c>
      <c r="B23" s="864"/>
      <c r="C23" s="735">
        <f ca="1">C20+C15+C22</f>
        <v>25969.635625574698</v>
      </c>
      <c r="D23" s="735">
        <f t="shared" ref="D23:Q23" ca="1" si="2">D20+D15+D22</f>
        <v>0</v>
      </c>
      <c r="E23" s="735">
        <f t="shared" ca="1" si="2"/>
        <v>66970.048820739874</v>
      </c>
      <c r="F23" s="735">
        <f t="shared" si="2"/>
        <v>1567.7291284198789</v>
      </c>
      <c r="G23" s="735">
        <f t="shared" ca="1" si="2"/>
        <v>2843.2492935047203</v>
      </c>
      <c r="H23" s="735">
        <f t="shared" si="2"/>
        <v>68813.72549315315</v>
      </c>
      <c r="I23" s="735">
        <f t="shared" si="2"/>
        <v>11644.368156056686</v>
      </c>
      <c r="J23" s="735">
        <f t="shared" si="2"/>
        <v>0</v>
      </c>
      <c r="K23" s="735">
        <f t="shared" si="2"/>
        <v>40.689285801603205</v>
      </c>
      <c r="L23" s="735">
        <f t="shared" si="2"/>
        <v>0</v>
      </c>
      <c r="M23" s="735">
        <f t="shared" ca="1" si="2"/>
        <v>0</v>
      </c>
      <c r="N23" s="735">
        <f t="shared" si="2"/>
        <v>4364.1408160831406</v>
      </c>
      <c r="O23" s="735">
        <f t="shared" ca="1" si="2"/>
        <v>14238.677357109169</v>
      </c>
      <c r="P23" s="735">
        <f t="shared" si="2"/>
        <v>196.98000000000002</v>
      </c>
      <c r="Q23" s="736">
        <f t="shared" si="2"/>
        <v>934.26666666666665</v>
      </c>
      <c r="R23" s="737">
        <f ca="1">R20+R15+R22</f>
        <v>197583.51064310956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1345.7435389842381</v>
      </c>
      <c r="D36" s="718">
        <f ca="1">tertiair!C20</f>
        <v>0</v>
      </c>
      <c r="E36" s="718">
        <f ca="1">tertiair!D20</f>
        <v>1777.9202944118003</v>
      </c>
      <c r="F36" s="718">
        <f>tertiair!E20</f>
        <v>20.608085972963146</v>
      </c>
      <c r="G36" s="718">
        <f ca="1">tertiair!F20</f>
        <v>294.10664101538305</v>
      </c>
      <c r="H36" s="718">
        <f>tertiair!G20</f>
        <v>0</v>
      </c>
      <c r="I36" s="718">
        <f>tertiair!H20</f>
        <v>0</v>
      </c>
      <c r="J36" s="718">
        <f>tertiair!I20</f>
        <v>0</v>
      </c>
      <c r="K36" s="718">
        <f>tertiair!J20</f>
        <v>6.0544307734202892E-3</v>
      </c>
      <c r="L36" s="718">
        <f>tertiair!K20</f>
        <v>0</v>
      </c>
      <c r="M36" s="718">
        <f ca="1">tertiair!L20</f>
        <v>0</v>
      </c>
      <c r="N36" s="718">
        <f>tertiair!M20</f>
        <v>0</v>
      </c>
      <c r="O36" s="718">
        <f ca="1">tertiair!N20</f>
        <v>0</v>
      </c>
      <c r="P36" s="718">
        <f>tertiair!O20</f>
        <v>0</v>
      </c>
      <c r="Q36" s="828">
        <f>tertiair!P20</f>
        <v>0</v>
      </c>
      <c r="R36" s="917">
        <f ca="1">SUM(C36:Q36)</f>
        <v>3438.3846148151579</v>
      </c>
    </row>
    <row r="37" spans="1:18">
      <c r="A37" s="885" t="s">
        <v>225</v>
      </c>
      <c r="B37" s="892"/>
      <c r="C37" s="718">
        <f ca="1">huishoudens!B12</f>
        <v>3468.009145714555</v>
      </c>
      <c r="D37" s="718">
        <f ca="1">huishoudens!C12</f>
        <v>0</v>
      </c>
      <c r="E37" s="718">
        <f>huishoudens!D12</f>
        <v>11258.50732250022</v>
      </c>
      <c r="F37" s="718">
        <f>huishoudens!E12</f>
        <v>253.258706194703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14979.775174409478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227.58206641420867</v>
      </c>
      <c r="D39" s="718">
        <f ca="1">industrie!C22</f>
        <v>0</v>
      </c>
      <c r="E39" s="718">
        <f>industrie!D22</f>
        <v>338.90088852180003</v>
      </c>
      <c r="F39" s="718">
        <f>industrie!E22</f>
        <v>45.595905813865699</v>
      </c>
      <c r="G39" s="718">
        <f>industrie!F22</f>
        <v>152.77947871840402</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764.85833946827836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5041.3347511130014</v>
      </c>
      <c r="D41" s="763">
        <f t="shared" ref="D41:R41" ca="1" si="4">SUM(D35:D40)</f>
        <v>0</v>
      </c>
      <c r="E41" s="763">
        <f t="shared" ca="1" si="4"/>
        <v>13375.328505433821</v>
      </c>
      <c r="F41" s="763">
        <f t="shared" si="4"/>
        <v>319.46269798153185</v>
      </c>
      <c r="G41" s="763">
        <f t="shared" ca="1" si="4"/>
        <v>446.88611973378704</v>
      </c>
      <c r="H41" s="763">
        <f t="shared" si="4"/>
        <v>0</v>
      </c>
      <c r="I41" s="763">
        <f t="shared" si="4"/>
        <v>0</v>
      </c>
      <c r="J41" s="763">
        <f t="shared" si="4"/>
        <v>0</v>
      </c>
      <c r="K41" s="763">
        <f t="shared" si="4"/>
        <v>6.0544307734202892E-3</v>
      </c>
      <c r="L41" s="763">
        <f t="shared" si="4"/>
        <v>0</v>
      </c>
      <c r="M41" s="763">
        <f t="shared" ca="1" si="4"/>
        <v>0</v>
      </c>
      <c r="N41" s="763">
        <f t="shared" si="4"/>
        <v>0</v>
      </c>
      <c r="O41" s="763">
        <f t="shared" ca="1" si="4"/>
        <v>0</v>
      </c>
      <c r="P41" s="763">
        <f t="shared" si="4"/>
        <v>0</v>
      </c>
      <c r="Q41" s="764">
        <f t="shared" si="4"/>
        <v>0</v>
      </c>
      <c r="R41" s="765">
        <f t="shared" ca="1" si="4"/>
        <v>19183.018128692915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322.82923671339449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322.82923671339449</v>
      </c>
    </row>
    <row r="45" spans="1:18" ht="15" thickBot="1">
      <c r="A45" s="888" t="s">
        <v>307</v>
      </c>
      <c r="B45" s="898"/>
      <c r="C45" s="727">
        <f ca="1">transport!B18</f>
        <v>5.6245853353810062</v>
      </c>
      <c r="D45" s="727">
        <f>transport!C18</f>
        <v>0</v>
      </c>
      <c r="E45" s="727">
        <f>transport!D18</f>
        <v>20.403274597236656</v>
      </c>
      <c r="F45" s="727">
        <f>transport!E18</f>
        <v>34.538700895426643</v>
      </c>
      <c r="G45" s="727">
        <f>transport!F18</f>
        <v>0</v>
      </c>
      <c r="H45" s="727">
        <f>transport!G18</f>
        <v>18050.435469958498</v>
      </c>
      <c r="I45" s="727">
        <f>transport!H18</f>
        <v>2899.4476708581146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21010.449701644655</v>
      </c>
    </row>
    <row r="46" spans="1:18" ht="15.75" thickBot="1">
      <c r="A46" s="886" t="s">
        <v>230</v>
      </c>
      <c r="B46" s="899"/>
      <c r="C46" s="763">
        <f t="shared" ref="C46:R46" ca="1" si="5">SUM(C43:C45)</f>
        <v>5.6245853353810062</v>
      </c>
      <c r="D46" s="763">
        <f t="shared" ca="1" si="5"/>
        <v>0</v>
      </c>
      <c r="E46" s="763">
        <f t="shared" si="5"/>
        <v>20.403274597236656</v>
      </c>
      <c r="F46" s="763">
        <f t="shared" si="5"/>
        <v>34.538700895426643</v>
      </c>
      <c r="G46" s="763">
        <f t="shared" si="5"/>
        <v>0</v>
      </c>
      <c r="H46" s="763">
        <f t="shared" si="5"/>
        <v>18373.264706671893</v>
      </c>
      <c r="I46" s="763">
        <f t="shared" si="5"/>
        <v>2899.4476708581146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21333.278938358049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55.154089532365411</v>
      </c>
      <c r="D48" s="718">
        <f ca="1">+landbouw!C12</f>
        <v>0</v>
      </c>
      <c r="E48" s="718">
        <f>+landbouw!D12</f>
        <v>132.21808175840002</v>
      </c>
      <c r="F48" s="718">
        <f>+landbouw!E12</f>
        <v>1.873113274354085</v>
      </c>
      <c r="G48" s="718">
        <f>+landbouw!F12</f>
        <v>312.2614416319733</v>
      </c>
      <c r="H48" s="718">
        <f>+landbouw!G12</f>
        <v>0</v>
      </c>
      <c r="I48" s="718">
        <f>+landbouw!H12</f>
        <v>0</v>
      </c>
      <c r="J48" s="718">
        <f>+landbouw!I12</f>
        <v>0</v>
      </c>
      <c r="K48" s="718">
        <f>+landbouw!J12</f>
        <v>14.397952742994114</v>
      </c>
      <c r="L48" s="718">
        <f>+landbouw!K12</f>
        <v>0</v>
      </c>
      <c r="M48" s="718">
        <f>+landbouw!L12</f>
        <v>0</v>
      </c>
      <c r="N48" s="718">
        <f>+landbouw!M12</f>
        <v>0</v>
      </c>
      <c r="O48" s="718">
        <f>+landbouw!N12</f>
        <v>0</v>
      </c>
      <c r="P48" s="718">
        <f>+landbouw!O12</f>
        <v>0</v>
      </c>
      <c r="Q48" s="719">
        <f>+landbouw!P12</f>
        <v>0</v>
      </c>
      <c r="R48" s="761">
        <f ca="1">SUM(C48:Q48)</f>
        <v>515.90467894008691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5102.1134259807477</v>
      </c>
      <c r="D53" s="773">
        <f t="shared" ref="D53:Q53" ca="1" si="6">D41+D46+D48</f>
        <v>0</v>
      </c>
      <c r="E53" s="773">
        <f t="shared" ca="1" si="6"/>
        <v>13527.949861789457</v>
      </c>
      <c r="F53" s="773">
        <f t="shared" si="6"/>
        <v>355.87451215131256</v>
      </c>
      <c r="G53" s="773">
        <f t="shared" ca="1" si="6"/>
        <v>759.14756136576034</v>
      </c>
      <c r="H53" s="773">
        <f t="shared" si="6"/>
        <v>18373.264706671893</v>
      </c>
      <c r="I53" s="773">
        <f t="shared" si="6"/>
        <v>2899.4476708581146</v>
      </c>
      <c r="J53" s="773">
        <f t="shared" si="6"/>
        <v>0</v>
      </c>
      <c r="K53" s="773">
        <f t="shared" si="6"/>
        <v>14.404007173767535</v>
      </c>
      <c r="L53" s="773">
        <f t="shared" si="6"/>
        <v>0</v>
      </c>
      <c r="M53" s="773">
        <f t="shared" ca="1" si="6"/>
        <v>0</v>
      </c>
      <c r="N53" s="773">
        <f t="shared" si="6"/>
        <v>0</v>
      </c>
      <c r="O53" s="773">
        <f t="shared" ca="1" si="6"/>
        <v>0</v>
      </c>
      <c r="P53" s="773">
        <f>P41+P46+P48</f>
        <v>0</v>
      </c>
      <c r="Q53" s="774">
        <f t="shared" si="6"/>
        <v>0</v>
      </c>
      <c r="R53" s="775">
        <f ca="1">R41+R46+R48</f>
        <v>41032.201745991057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0.19646457499604753</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2883.1495351640719</v>
      </c>
      <c r="C66" s="795">
        <f>'lokale energieproductie'!B6</f>
        <v>2883.1495351640719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2883.1495351640719</v>
      </c>
      <c r="C69" s="803">
        <f>SUM(C64:C68)</f>
        <v>2883.1495351640719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17652.083821138363</v>
      </c>
      <c r="C4" s="478">
        <f>huishoudens!C8</f>
        <v>0</v>
      </c>
      <c r="D4" s="478">
        <f>huishoudens!D8</f>
        <v>55735.184764852565</v>
      </c>
      <c r="E4" s="478">
        <f>huishoudens!E8</f>
        <v>1115.6771198004537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13307.584702798433</v>
      </c>
      <c r="O4" s="478">
        <f>huishoudens!O8</f>
        <v>195.41666666666669</v>
      </c>
      <c r="P4" s="479">
        <f>huishoudens!P8</f>
        <v>934.26666666666665</v>
      </c>
      <c r="Q4" s="480">
        <f>SUM(B4:P4)</f>
        <v>88940.213741923144</v>
      </c>
    </row>
    <row r="5" spans="1:17">
      <c r="A5" s="477" t="s">
        <v>156</v>
      </c>
      <c r="B5" s="478">
        <f ca="1">tertiair!B16</f>
        <v>6303.0215102556613</v>
      </c>
      <c r="C5" s="478">
        <f ca="1">tertiair!C16</f>
        <v>0</v>
      </c>
      <c r="D5" s="478">
        <f ca="1">tertiair!D16</f>
        <v>8801.5856159000014</v>
      </c>
      <c r="E5" s="478">
        <f>tertiair!E16</f>
        <v>90.784519704683461</v>
      </c>
      <c r="F5" s="478">
        <f ca="1">tertiair!F16</f>
        <v>1101.5230000576144</v>
      </c>
      <c r="G5" s="478">
        <f>tertiair!G16</f>
        <v>0</v>
      </c>
      <c r="H5" s="478">
        <f>tertiair!H16</f>
        <v>0</v>
      </c>
      <c r="I5" s="478">
        <f>tertiair!I16</f>
        <v>0</v>
      </c>
      <c r="J5" s="478">
        <f>tertiair!J16</f>
        <v>1.7102911789322852E-2</v>
      </c>
      <c r="K5" s="478">
        <f>tertiair!K16</f>
        <v>0</v>
      </c>
      <c r="L5" s="478">
        <f ca="1">tertiair!L16</f>
        <v>0</v>
      </c>
      <c r="M5" s="478">
        <f>tertiair!M16</f>
        <v>0</v>
      </c>
      <c r="N5" s="478">
        <f ca="1">tertiair!N16</f>
        <v>683.67370159642542</v>
      </c>
      <c r="O5" s="478">
        <f>tertiair!O16</f>
        <v>1.5633333333333335</v>
      </c>
      <c r="P5" s="479">
        <f>tertiair!P16</f>
        <v>0</v>
      </c>
      <c r="Q5" s="477">
        <f t="shared" ref="Q5:Q13" ca="1" si="0">SUM(B5:P5)</f>
        <v>16982.168783759505</v>
      </c>
    </row>
    <row r="6" spans="1:17">
      <c r="A6" s="477" t="s">
        <v>194</v>
      </c>
      <c r="B6" s="478">
        <f>'openbare verlichting'!B8</f>
        <v>546.78099999999995</v>
      </c>
      <c r="C6" s="478"/>
      <c r="D6" s="478"/>
      <c r="E6" s="478"/>
      <c r="F6" s="478"/>
      <c r="G6" s="478"/>
      <c r="H6" s="478"/>
      <c r="I6" s="478"/>
      <c r="J6" s="478"/>
      <c r="K6" s="478"/>
      <c r="L6" s="478"/>
      <c r="M6" s="478"/>
      <c r="N6" s="478"/>
      <c r="O6" s="478"/>
      <c r="P6" s="479"/>
      <c r="Q6" s="477">
        <f t="shared" si="0"/>
        <v>546.78099999999995</v>
      </c>
    </row>
    <row r="7" spans="1:17">
      <c r="A7" s="477" t="s">
        <v>112</v>
      </c>
      <c r="B7" s="478">
        <f>landbouw!B8</f>
        <v>280.733</v>
      </c>
      <c r="C7" s="478">
        <f>landbouw!C8</f>
        <v>0</v>
      </c>
      <c r="D7" s="478">
        <f>landbouw!D8</f>
        <v>654.54495919999999</v>
      </c>
      <c r="E7" s="478">
        <f>landbouw!E8</f>
        <v>8.251600327551035</v>
      </c>
      <c r="F7" s="478">
        <f>landbouw!F8</f>
        <v>1169.5185079849186</v>
      </c>
      <c r="G7" s="478">
        <f>landbouw!G8</f>
        <v>0</v>
      </c>
      <c r="H7" s="478">
        <f>landbouw!H8</f>
        <v>0</v>
      </c>
      <c r="I7" s="478">
        <f>landbouw!I8</f>
        <v>0</v>
      </c>
      <c r="J7" s="478">
        <f>landbouw!J8</f>
        <v>40.672182889813882</v>
      </c>
      <c r="K7" s="478">
        <f>landbouw!K8</f>
        <v>0</v>
      </c>
      <c r="L7" s="478">
        <f>landbouw!L8</f>
        <v>0</v>
      </c>
      <c r="M7" s="478">
        <f>landbouw!M8</f>
        <v>0</v>
      </c>
      <c r="N7" s="478">
        <f>landbouw!N8</f>
        <v>0</v>
      </c>
      <c r="O7" s="478">
        <f>landbouw!O8</f>
        <v>0</v>
      </c>
      <c r="P7" s="479">
        <f>landbouw!P8</f>
        <v>0</v>
      </c>
      <c r="Q7" s="477">
        <f t="shared" si="0"/>
        <v>2153.7202504022835</v>
      </c>
    </row>
    <row r="8" spans="1:17">
      <c r="A8" s="477" t="s">
        <v>635</v>
      </c>
      <c r="B8" s="478">
        <f>industrie!B18</f>
        <v>1158.387289</v>
      </c>
      <c r="C8" s="478">
        <f>industrie!C18</f>
        <v>0</v>
      </c>
      <c r="D8" s="478">
        <f>industrie!D18</f>
        <v>1677.7271708999999</v>
      </c>
      <c r="E8" s="478">
        <f>industrie!E18</f>
        <v>200.86302120645681</v>
      </c>
      <c r="F8" s="478">
        <f>industrie!F18</f>
        <v>572.2077854621873</v>
      </c>
      <c r="G8" s="478">
        <f>industrie!G18</f>
        <v>0</v>
      </c>
      <c r="H8" s="478">
        <f>industrie!H18</f>
        <v>0</v>
      </c>
      <c r="I8" s="478">
        <f>industrie!I18</f>
        <v>0</v>
      </c>
      <c r="J8" s="478">
        <f>industrie!J18</f>
        <v>0</v>
      </c>
      <c r="K8" s="478">
        <f>industrie!K18</f>
        <v>0</v>
      </c>
      <c r="L8" s="478">
        <f>industrie!L18</f>
        <v>0</v>
      </c>
      <c r="M8" s="478">
        <f>industrie!M18</f>
        <v>0</v>
      </c>
      <c r="N8" s="478">
        <f>industrie!N18</f>
        <v>247.41895271430909</v>
      </c>
      <c r="O8" s="478">
        <f>industrie!O18</f>
        <v>0</v>
      </c>
      <c r="P8" s="479">
        <f>industrie!P18</f>
        <v>0</v>
      </c>
      <c r="Q8" s="477">
        <f t="shared" si="0"/>
        <v>3856.6042192829527</v>
      </c>
    </row>
    <row r="9" spans="1:17" s="483" customFormat="1">
      <c r="A9" s="481" t="s">
        <v>561</v>
      </c>
      <c r="B9" s="482">
        <f>transport!B14</f>
        <v>28.62900518067525</v>
      </c>
      <c r="C9" s="482"/>
      <c r="D9" s="482">
        <f>transport!D14</f>
        <v>101.00630988731018</v>
      </c>
      <c r="E9" s="482">
        <f>transport!E14</f>
        <v>152.15286738073411</v>
      </c>
      <c r="F9" s="482"/>
      <c r="G9" s="482">
        <f>transport!G14</f>
        <v>67604.627228308978</v>
      </c>
      <c r="H9" s="482">
        <f>transport!H14</f>
        <v>11644.368156056686</v>
      </c>
      <c r="I9" s="482"/>
      <c r="J9" s="482"/>
      <c r="K9" s="482"/>
      <c r="L9" s="482"/>
      <c r="M9" s="482">
        <f>transport!M14</f>
        <v>4295.4693722966385</v>
      </c>
      <c r="N9" s="482"/>
      <c r="O9" s="482"/>
      <c r="P9" s="482"/>
      <c r="Q9" s="481">
        <f>SUM(B9:P9)</f>
        <v>83826.252939111029</v>
      </c>
    </row>
    <row r="10" spans="1:17">
      <c r="A10" s="477" t="s">
        <v>551</v>
      </c>
      <c r="B10" s="478">
        <f>transport!B54</f>
        <v>0</v>
      </c>
      <c r="C10" s="478"/>
      <c r="D10" s="478">
        <f>transport!D54</f>
        <v>0</v>
      </c>
      <c r="E10" s="478"/>
      <c r="F10" s="478"/>
      <c r="G10" s="478">
        <f>transport!G54</f>
        <v>1209.0982648441741</v>
      </c>
      <c r="H10" s="478"/>
      <c r="I10" s="478"/>
      <c r="J10" s="478"/>
      <c r="K10" s="478"/>
      <c r="L10" s="478"/>
      <c r="M10" s="478">
        <f>transport!M54</f>
        <v>68.671443786502493</v>
      </c>
      <c r="N10" s="478"/>
      <c r="O10" s="478"/>
      <c r="P10" s="479"/>
      <c r="Q10" s="477">
        <f t="shared" si="0"/>
        <v>1277.7697086306766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25969.635625574698</v>
      </c>
      <c r="C14" s="488">
        <f t="shared" ref="C14:Q14" ca="1" si="1">SUM(C4:C13)</f>
        <v>0</v>
      </c>
      <c r="D14" s="488">
        <f t="shared" ca="1" si="1"/>
        <v>66970.048820739874</v>
      </c>
      <c r="E14" s="488">
        <f t="shared" si="1"/>
        <v>1567.7291284198789</v>
      </c>
      <c r="F14" s="488">
        <f t="shared" ca="1" si="1"/>
        <v>2843.2492935047203</v>
      </c>
      <c r="G14" s="488">
        <f t="shared" si="1"/>
        <v>68813.72549315315</v>
      </c>
      <c r="H14" s="488">
        <f t="shared" si="1"/>
        <v>11644.368156056686</v>
      </c>
      <c r="I14" s="488">
        <f t="shared" si="1"/>
        <v>0</v>
      </c>
      <c r="J14" s="488">
        <f t="shared" si="1"/>
        <v>40.689285801603205</v>
      </c>
      <c r="K14" s="488">
        <f t="shared" si="1"/>
        <v>0</v>
      </c>
      <c r="L14" s="488">
        <f t="shared" ca="1" si="1"/>
        <v>0</v>
      </c>
      <c r="M14" s="488">
        <f t="shared" si="1"/>
        <v>4364.1408160831406</v>
      </c>
      <c r="N14" s="488">
        <f t="shared" ca="1" si="1"/>
        <v>14238.677357109169</v>
      </c>
      <c r="O14" s="488">
        <f t="shared" si="1"/>
        <v>196.98000000000002</v>
      </c>
      <c r="P14" s="489">
        <f t="shared" si="1"/>
        <v>934.26666666666665</v>
      </c>
      <c r="Q14" s="489">
        <f t="shared" ca="1" si="1"/>
        <v>197583.51064310962</v>
      </c>
    </row>
    <row r="16" spans="1:17">
      <c r="A16" s="491" t="s">
        <v>556</v>
      </c>
      <c r="B16" s="841">
        <f ca="1">huishoudens!B10</f>
        <v>0.19646457499604753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3468.009145714555</v>
      </c>
      <c r="C21" s="478">
        <f t="shared" ref="C21:C28" ca="1" si="3">C4*$C$16</f>
        <v>0</v>
      </c>
      <c r="D21" s="478">
        <f t="shared" ref="D21:D30" si="4">D4*$D$16</f>
        <v>11258.50732250022</v>
      </c>
      <c r="E21" s="478">
        <f t="shared" ref="E21:E30" si="5">E4*$E$16</f>
        <v>253.258706194703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14979.775174409478</v>
      </c>
    </row>
    <row r="22" spans="1:17">
      <c r="A22" s="477" t="s">
        <v>156</v>
      </c>
      <c r="B22" s="478">
        <f t="shared" ca="1" si="2"/>
        <v>1238.3204422033241</v>
      </c>
      <c r="C22" s="478">
        <f t="shared" ca="1" si="3"/>
        <v>0</v>
      </c>
      <c r="D22" s="478">
        <f t="shared" ca="1" si="4"/>
        <v>1777.9202944118003</v>
      </c>
      <c r="E22" s="478">
        <f t="shared" si="5"/>
        <v>20.608085972963146</v>
      </c>
      <c r="F22" s="478">
        <f t="shared" ca="1" si="6"/>
        <v>294.10664101538305</v>
      </c>
      <c r="G22" s="478">
        <f t="shared" si="7"/>
        <v>0</v>
      </c>
      <c r="H22" s="478">
        <f t="shared" si="8"/>
        <v>0</v>
      </c>
      <c r="I22" s="478">
        <f t="shared" si="9"/>
        <v>0</v>
      </c>
      <c r="J22" s="478">
        <f t="shared" si="10"/>
        <v>6.0544307734202892E-3</v>
      </c>
      <c r="K22" s="478">
        <f t="shared" si="11"/>
        <v>0</v>
      </c>
      <c r="L22" s="478">
        <f t="shared" ca="1" si="12"/>
        <v>0</v>
      </c>
      <c r="M22" s="478">
        <f t="shared" si="13"/>
        <v>0</v>
      </c>
      <c r="N22" s="478">
        <f t="shared" ca="1" si="14"/>
        <v>0</v>
      </c>
      <c r="O22" s="478">
        <f t="shared" si="15"/>
        <v>0</v>
      </c>
      <c r="P22" s="479">
        <f t="shared" si="16"/>
        <v>0</v>
      </c>
      <c r="Q22" s="477">
        <f t="shared" ref="Q22:Q30" ca="1" si="17">SUM(B22:P22)</f>
        <v>3330.9615180342444</v>
      </c>
    </row>
    <row r="23" spans="1:17">
      <c r="A23" s="477" t="s">
        <v>194</v>
      </c>
      <c r="B23" s="478">
        <f t="shared" ca="1" si="2"/>
        <v>107.42309678091385</v>
      </c>
      <c r="C23" s="478"/>
      <c r="D23" s="478"/>
      <c r="E23" s="478"/>
      <c r="F23" s="478"/>
      <c r="G23" s="478"/>
      <c r="H23" s="478"/>
      <c r="I23" s="478"/>
      <c r="J23" s="478"/>
      <c r="K23" s="478"/>
      <c r="L23" s="478"/>
      <c r="M23" s="478"/>
      <c r="N23" s="478"/>
      <c r="O23" s="478"/>
      <c r="P23" s="479"/>
      <c r="Q23" s="477">
        <f t="shared" ca="1" si="17"/>
        <v>107.42309678091385</v>
      </c>
    </row>
    <row r="24" spans="1:17">
      <c r="A24" s="477" t="s">
        <v>112</v>
      </c>
      <c r="B24" s="478">
        <f t="shared" ca="1" si="2"/>
        <v>55.154089532365411</v>
      </c>
      <c r="C24" s="478">
        <f t="shared" ca="1" si="3"/>
        <v>0</v>
      </c>
      <c r="D24" s="478">
        <f t="shared" si="4"/>
        <v>132.21808175840002</v>
      </c>
      <c r="E24" s="478">
        <f t="shared" si="5"/>
        <v>1.873113274354085</v>
      </c>
      <c r="F24" s="478">
        <f t="shared" si="6"/>
        <v>312.2614416319733</v>
      </c>
      <c r="G24" s="478">
        <f t="shared" si="7"/>
        <v>0</v>
      </c>
      <c r="H24" s="478">
        <f t="shared" si="8"/>
        <v>0</v>
      </c>
      <c r="I24" s="478">
        <f t="shared" si="9"/>
        <v>0</v>
      </c>
      <c r="J24" s="478">
        <f t="shared" si="10"/>
        <v>14.397952742994114</v>
      </c>
      <c r="K24" s="478">
        <f t="shared" si="11"/>
        <v>0</v>
      </c>
      <c r="L24" s="478">
        <f t="shared" si="12"/>
        <v>0</v>
      </c>
      <c r="M24" s="478">
        <f t="shared" si="13"/>
        <v>0</v>
      </c>
      <c r="N24" s="478">
        <f t="shared" si="14"/>
        <v>0</v>
      </c>
      <c r="O24" s="478">
        <f t="shared" si="15"/>
        <v>0</v>
      </c>
      <c r="P24" s="479">
        <f t="shared" si="16"/>
        <v>0</v>
      </c>
      <c r="Q24" s="477">
        <f t="shared" ca="1" si="17"/>
        <v>515.90467894008691</v>
      </c>
    </row>
    <row r="25" spans="1:17">
      <c r="A25" s="477" t="s">
        <v>635</v>
      </c>
      <c r="B25" s="478">
        <f t="shared" ca="1" si="2"/>
        <v>227.58206641420867</v>
      </c>
      <c r="C25" s="478">
        <f t="shared" ca="1" si="3"/>
        <v>0</v>
      </c>
      <c r="D25" s="478">
        <f t="shared" si="4"/>
        <v>338.90088852180003</v>
      </c>
      <c r="E25" s="478">
        <f t="shared" si="5"/>
        <v>45.595905813865699</v>
      </c>
      <c r="F25" s="478">
        <f t="shared" si="6"/>
        <v>152.77947871840402</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764.85833946827836</v>
      </c>
    </row>
    <row r="26" spans="1:17" s="483" customFormat="1">
      <c r="A26" s="481" t="s">
        <v>561</v>
      </c>
      <c r="B26" s="835">
        <f t="shared" ca="1" si="2"/>
        <v>5.6245853353810062</v>
      </c>
      <c r="C26" s="482"/>
      <c r="D26" s="482">
        <f t="shared" si="4"/>
        <v>20.403274597236656</v>
      </c>
      <c r="E26" s="482">
        <f t="shared" si="5"/>
        <v>34.538700895426643</v>
      </c>
      <c r="F26" s="482"/>
      <c r="G26" s="482">
        <f t="shared" si="7"/>
        <v>18050.435469958498</v>
      </c>
      <c r="H26" s="482">
        <f t="shared" si="8"/>
        <v>2899.4476708581146</v>
      </c>
      <c r="I26" s="482"/>
      <c r="J26" s="482"/>
      <c r="K26" s="482"/>
      <c r="L26" s="482"/>
      <c r="M26" s="482">
        <f t="shared" si="13"/>
        <v>0</v>
      </c>
      <c r="N26" s="482"/>
      <c r="O26" s="482"/>
      <c r="P26" s="493"/>
      <c r="Q26" s="481">
        <f t="shared" ca="1" si="17"/>
        <v>21010.449701644655</v>
      </c>
    </row>
    <row r="27" spans="1:17">
      <c r="A27" s="477" t="s">
        <v>551</v>
      </c>
      <c r="B27" s="478">
        <f t="shared" ca="1" si="2"/>
        <v>0</v>
      </c>
      <c r="C27" s="478"/>
      <c r="D27" s="482">
        <f t="shared" si="4"/>
        <v>0</v>
      </c>
      <c r="E27" s="478"/>
      <c r="F27" s="478"/>
      <c r="G27" s="478">
        <f t="shared" si="7"/>
        <v>322.82923671339449</v>
      </c>
      <c r="H27" s="478"/>
      <c r="I27" s="478"/>
      <c r="J27" s="478"/>
      <c r="K27" s="478"/>
      <c r="L27" s="478"/>
      <c r="M27" s="478">
        <f t="shared" si="13"/>
        <v>0</v>
      </c>
      <c r="N27" s="478"/>
      <c r="O27" s="478"/>
      <c r="P27" s="479"/>
      <c r="Q27" s="477">
        <f t="shared" ca="1" si="17"/>
        <v>322.82923671339449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5102.1134259807468</v>
      </c>
      <c r="C31" s="488">
        <f t="shared" ca="1" si="18"/>
        <v>0</v>
      </c>
      <c r="D31" s="488">
        <f t="shared" ca="1" si="18"/>
        <v>13527.949861789457</v>
      </c>
      <c r="E31" s="488">
        <f t="shared" si="18"/>
        <v>355.87451215131256</v>
      </c>
      <c r="F31" s="488">
        <f t="shared" ca="1" si="18"/>
        <v>759.14756136576034</v>
      </c>
      <c r="G31" s="488">
        <f t="shared" si="18"/>
        <v>18373.264706671893</v>
      </c>
      <c r="H31" s="488">
        <f t="shared" si="18"/>
        <v>2899.4476708581146</v>
      </c>
      <c r="I31" s="488">
        <f t="shared" si="18"/>
        <v>0</v>
      </c>
      <c r="J31" s="488">
        <f t="shared" si="18"/>
        <v>14.404007173767535</v>
      </c>
      <c r="K31" s="488">
        <f t="shared" si="18"/>
        <v>0</v>
      </c>
      <c r="L31" s="488">
        <f t="shared" ca="1" si="18"/>
        <v>0</v>
      </c>
      <c r="M31" s="488">
        <f t="shared" si="18"/>
        <v>0</v>
      </c>
      <c r="N31" s="488">
        <f t="shared" ca="1" si="18"/>
        <v>0</v>
      </c>
      <c r="O31" s="488">
        <f t="shared" si="18"/>
        <v>0</v>
      </c>
      <c r="P31" s="489">
        <f t="shared" si="18"/>
        <v>0</v>
      </c>
      <c r="Q31" s="489">
        <f t="shared" ca="1" si="18"/>
        <v>41032.201745991057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0.19646457499604753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0.19646457499604753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0.19646457499604753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2019-01-01T21:17:53Z</dcterms:modified>
</cp:coreProperties>
</file>