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M53" i="14"/>
  <c r="M55" s="1"/>
  <c r="C12" i="13"/>
  <c r="D37" i="14" s="1"/>
  <c r="D41" s="1"/>
  <c r="F25" i="48"/>
  <c r="F31" s="1"/>
  <c r="F14"/>
  <c r="E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<sst xmlns="http://schemas.openxmlformats.org/spreadsheetml/2006/main" count="2099" uniqueCount="844">
  <si>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</si>
  <si>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</si>
  <si>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</si>
  <si>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</si>
  <si>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</si>
  <si>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</si>
  <si>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</si>
  <si>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</si>
  <si>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</si>
  <si>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</si>
  <si>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</si>
  <si>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</si>
  <si>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</si>
  <si>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</si>
  <si>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</si>
  <si>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</si>
  <si>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</si>
  <si>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</si>
  <si>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</si>
  <si>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</si>
  <si>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</si>
  <si>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</si>
  <si>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</si>
  <si>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</si>
  <si>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</si>
  <si>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</si>
  <si>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</si>
  <si>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</si>
  <si>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</si>
  <si>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</si>
  <si>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</si>
  <si>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</si>
  <si>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</si>
  <si>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</si>
  <si>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</si>
  <si>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</si>
  <si>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</si>
  <si>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</si>
  <si>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</si>
  <si>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</si>
  <si>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</si>
  <si>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</si>
  <si>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</si>
  <si>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</si>
  <si>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</si>
  <si>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</si>
  <si>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</si>
  <si>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</si>
  <si>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</si>
  <si>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</si>
  <si>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</si>
  <si>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</si>
  <si>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</si>
  <si>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</si>
  <si>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</si>
  <si>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</si>
  <si>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</si>
  <si>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</si>
  <si>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</si>
  <si>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</si>
  <si>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</si>
  <si>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</si>
  <si>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</si>
  <si>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</si>
  <si>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</si>
  <si>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</si>
  <si>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</si>
  <si>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</si>
  <si>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</si>
  <si>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</si>
  <si>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</si>
  <si>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</si>
  <si>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</si>
  <si>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</si>
  <si>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</si>
  <si>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</si>
  <si>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</si>
  <si>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</si>
  <si>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</si>
  <si>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</si>
  <si>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</si>
  <si>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</si>
  <si>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</si>
  <si>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</si>
  <si>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</si>
  <si>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</si>
  <si>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</si>
  <si>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</si>
  <si>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</si>
  <si>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</si>
  <si>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</si>
  <si>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</si>
  <si>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</si>
  <si>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</si>
  <si>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</si>
  <si>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</si>
  <si>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</si>
  <si>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</si>
  <si>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</si>
  <si>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</si>
  <si>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</si>
  <si>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</si>
  <si>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</si>
  <si>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</si>
  <si>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</si>
  <si>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</si>
  <si>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</si>
  <si>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</si>
  <si>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</si>
  <si>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</si>
  <si>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</si>
  <si>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</si>
  <si>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</si>
  <si>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</si>
  <si>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</si>
  <si>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</si>
  <si>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</si>
  <si>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</si>
  <si>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</si>
  <si>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</si>
  <si>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</si>
  <si>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</si>
  <si>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</si>
  <si>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</si>
  <si>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</si>
  <si>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</si>
  <si>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</si>
  <si>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</si>
  <si>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</si>
  <si>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</si>
  <si>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</si>
  <si>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</si>
  <si>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</si>
  <si>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</si>
  <si>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</si>
  <si>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</si>
  <si>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</si>
  <si>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</si>
  <si>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</si>
  <si>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</si>
  <si>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</si>
  <si>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</si>
  <si>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</si>
  <si>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</si>
  <si>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</si>
  <si>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</si>
  <si>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</si>
  <si>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</si>
  <si>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</si>
  <si>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</si>
  <si>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</si>
  <si>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</si>
  <si>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</si>
  <si>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</si>
  <si>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</si>
  <si>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</si>
  <si>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</si>
  <si>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</si>
  <si>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</si>
  <si>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</si>
  <si>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</si>
  <si>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</si>
  <si>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</si>
  <si>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</si>
  <si>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</si>
  <si>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</si>
  <si>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</si>
  <si>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</si>
  <si>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</si>
  <si>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</si>
  <si>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</si>
  <si>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</si>
  <si>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</si>
  <si>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</si>
  <si>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</si>
  <si>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</si>
  <si>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</si>
  <si>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</si>
  <si>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</si>
  <si>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</si>
  <si>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</si>
  <si>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</si>
  <si>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</si>
  <si>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</si>
  <si>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</si>
  <si>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</si>
  <si>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</si>
  <si>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</si>
  <si>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</si>
  <si>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</si>
  <si>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</si>
  <si>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</si>
  <si>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</si>
  <si>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</si>
  <si>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</si>
  <si>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</si>
  <si>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</si>
  <si>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</si>
  <si>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</si>
  <si>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</si>
  <si>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</si>
  <si>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</si>
  <si>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</si>
  <si>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</si>
  <si>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</si>
  <si>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</si>
  <si>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</si>
  <si>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</si>
  <si>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</si>
  <si>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</si>
  <si>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</si>
  <si>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</si>
  <si>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</si>
  <si>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</si>
  <si>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</si>
  <si>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</si>
  <si>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</si>
  <si>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</si>
  <si>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</si>
  <si>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</si>
  <si>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</si>
  <si>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</si>
  <si>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</si>
  <si>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</si>
  <si>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</si>
  <si>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</si>
  <si>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</si>
  <si>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</si>
  <si>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</si>
  <si>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</si>
  <si>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</si>
  <si>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</si>
  <si>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</si>
  <si>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</si>
  <si>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</si>
  <si>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</si>
  <si>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</si>
  <si>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</si>
  <si>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</si>
  <si>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</si>
  <si>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</si>
  <si>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</si>
  <si>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</si>
  <si>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</si>
  <si>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</si>
  <si>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</si>
  <si>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</si>
  <si>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</si>
  <si>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</si>
  <si>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</si>
  <si>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</si>
  <si>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</si>
  <si>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</si>
  <si>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</si>
  <si>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</si>
  <si>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</si>
  <si>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</si>
  <si>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</si>
  <si>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</si>
  <si>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</si>
  <si>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</si>
  <si>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</si>
  <si>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</si>
  <si>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</si>
  <si>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</si>
  <si>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</si>
  <si>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</si>
  <si>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</si>
  <si>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</si>
  <si>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</si>
  <si>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</si>
  <si>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</si>
  <si>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</si>
  <si>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</si>
  <si>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</si>
  <si>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</si>
  <si>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</si>
  <si>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</si>
  <si>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</si>
  <si>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</si>
  <si>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</si>
  <si>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</si>
  <si>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</si>
  <si>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</si>
  <si>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</si>
  <si>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</si>
  <si>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</si>
  <si>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</si>
  <si>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</si>
  <si>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</si>
  <si>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</si>
  <si>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</si>
  <si>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</si>
  <si>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</si>
  <si>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</si>
  <si>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</si>
  <si>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</si>
  <si>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</si>
  <si>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</si>
  <si>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</si>
  <si>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</si>
  <si>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</si>
  <si>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</si>
  <si>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</si>
  <si>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</si>
  <si>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</si>
  <si>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</si>
  <si>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</si>
  <si>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</si>
  <si>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</si>
  <si>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</si>
  <si>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</si>
  <si>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</si>
  <si>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</si>
  <si>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</si>
  <si>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</si>
  <si>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</si>
  <si>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</si>
  <si>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</si>
  <si>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</si>
  <si>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</si>
  <si>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</si>
  <si>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</si>
  <si>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</si>
  <si>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</si>
  <si>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</si>
  <si>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</si>
  <si>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</si>
  <si>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</si>
  <si>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</si>
  <si>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</si>
  <si>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</si>
  <si>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</si>
  <si>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</si>
  <si>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</si>
  <si>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</si>
  <si>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</si>
  <si>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</si>
  <si>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</si>
  <si>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</si>
  <si>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</si>
  <si>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</si>
  <si>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</si>
  <si>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</si>
  <si>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</si>
  <si>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</si>
  <si>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</si>
  <si>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</si>
  <si>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</si>
  <si>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</si>
  <si>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</si>
  <si>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</si>
  <si>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</si>
  <si>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</si>
  <si>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</si>
  <si>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</si>
  <si>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</si>
  <si>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</si>
  <si>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</si>
  <si>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</si>
  <si>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</si>
  <si>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</si>
  <si>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</si>
  <si>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</si>
  <si>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</si>
  <si>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</si>
  <si>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</si>
  <si>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</si>
  <si>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</si>
  <si>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</si>
  <si>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</si>
  <si>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</si>
  <si>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</si>
  <si>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</si>
  <si>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</si>
  <si>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</si>
  <si>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</si>
  <si>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</si>
  <si>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</si>
  <si>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</si>
  <si>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</si>
  <si>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</si>
  <si>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</si>
  <si>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</si>
  <si>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</si>
  <si>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</si>
  <si>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</si>
  <si>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</si>
  <si>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</si>
  <si>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</si>
  <si>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</si>
  <si>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</si>
  <si>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</si>
  <si>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</si>
  <si>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</si>
  <si>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</si>
  <si>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</si>
  <si>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</si>
  <si>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</si>
  <si>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</si>
  <si>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</si>
  <si>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</si>
  <si>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</si>
  <si>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</si>
  <si>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</si>
  <si>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</si>
  <si>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</si>
  <si>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</si>
  <si>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</si>
  <si>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</si>
  <si>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</si>
  <si>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</si>
  <si>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</si>
  <si>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</si>
  <si>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</si>
  <si>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</si>
  <si>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</si>
  <si>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</si>
  <si>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</si>
  <si>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</si>
  <si>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</si>
  <si>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</si>
  <si>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</si>
  <si>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</si>
  <si>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</si>
  <si>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</si>
  <si>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</si>
  <si>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</si>
  <si>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</si>
  <si>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</si>
  <si>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</si>
  <si>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</si>
  <si>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</si>
  <si>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</si>
  <si>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</si>
  <si>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</si>
  <si>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</si>
  <si>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</si>
  <si>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</si>
  <si>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</si>
  <si>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</si>
  <si>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</si>
  <si>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</si>
  <si>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</si>
  <si>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</si>
  <si>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</si>
  <si>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</si>
  <si>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</si>
  <si>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</si>
  <si>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</si>
  <si>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</si>
  <si>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</si>
  <si>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</si>
  <si>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</si>
  <si>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</si>
  <si>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</si>
  <si>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</si>
  <si>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</si>
  <si>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</si>
  <si>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</si>
  <si>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</si>
  <si>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</si>
  <si>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</si>
  <si>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</si>
  <si>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</si>
  <si>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</si>
  <si>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</si>
  <si>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</si>
  <si>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</si>
  <si>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</si>
  <si>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</si>
  <si>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</si>
  <si>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</si>
  <si>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</si>
  <si>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</si>
  <si>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</si>
  <si>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</si>
  <si>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</si>
  <si>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</si>
  <si>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</si>
  <si>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</si>
  <si>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</si>
  <si>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</si>
  <si>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</si>
  <si>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</si>
  <si>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</si>
  <si>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</si>
  <si>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</si>
  <si>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</si>
  <si>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</si>
  <si>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</si>
  <si>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</si>
  <si>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</si>
  <si>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</si>
  <si>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</si>
  <si>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</si>
  <si>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</si>
  <si>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</si>
  <si>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</si>
  <si>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</si>
  <si>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</si>
  <si>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</si>
  <si>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</si>
  <si>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</si>
  <si>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</si>
  <si>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</si>
  <si>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</si>
  <si>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</si>
  <si>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</si>
  <si>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</si>
  <si>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</si>
  <si>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</si>
  <si>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</si>
  <si>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</si>
  <si>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</si>
  <si>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</si>
  <si>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</si>
  <si>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</si>
  <si>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</si>
  <si>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</si>
  <si>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</si>
  <si>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</si>
  <si>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</si>
  <si>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</si>
  <si>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</si>
  <si>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</si>
  <si>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</si>
  <si>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</si>
  <si>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</si>
  <si>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</si>
  <si>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</si>
  <si>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</si>
  <si>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</si>
  <si>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</si>
  <si>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</si>
  <si>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</si>
  <si>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</si>
  <si>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</si>
  <si>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</si>
  <si>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</si>
  <si>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</si>
  <si>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</si>
  <si>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</si>
  <si>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</si>
  <si>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</si>
  <si>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</si>
  <si>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</si>
  <si>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</si>
  <si>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</si>
  <si>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</si>
  <si>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</si>
  <si>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</si>
  <si>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</si>
  <si>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</si>
  <si>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</si>
  <si>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</si>
  <si>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</si>
  <si>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</si>
  <si>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</si>
  <si>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</si>
  <si>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</si>
  <si>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</si>
  <si>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</si>
  <si>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</si>
  <si>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</si>
  <si>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</si>
  <si>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</si>
  <si>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</si>
  <si>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</si>
  <si>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</si>
  <si>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</si>
  <si>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</si>
  <si>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</si>
  <si>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</si>
  <si>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</si>
  <si>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</si>
  <si>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</si>
  <si>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</si>
  <si>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</si>
  <si>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</si>
  <si>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</si>
  <si>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</si>
  <si>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</si>
  <si>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</si>
  <si>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</si>
  <si>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</si>
  <si>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</si>
  <si>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</si>
  <si>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</si>
  <si>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</si>
  <si>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</si>
  <si>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</si>
  <si>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</si>
  <si>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</si>
  <si>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</si>
  <si>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</si>
  <si>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</si>
  <si>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</si>
  <si>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</si>
  <si>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</si>
  <si>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</si>
  <si>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</si>
  <si>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</si>
  <si>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</si>
  <si>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</si>
  <si>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</si>
  <si>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</si>
  <si>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</si>
  <si>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</si>
  <si>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</si>
  <si>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</si>
  <si>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</si>
  <si>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</si>
  <si>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</si>
  <si>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</si>
  <si>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</si>
  <si>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</si>
  <si>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</si>
  <si>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</si>
  <si>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</si>
  <si>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</si>
  <si>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</si>
  <si>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</si>
  <si>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</si>
  <si>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</si>
  <si>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</si>
  <si>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</si>
  <si>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</si>
  <si>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</si>
  <si>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</si>
  <si>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</si>
  <si>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</si>
  <si>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</si>
  <si>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</si>
  <si>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</si>
  <si>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</si>
  <si>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</si>
  <si>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</si>
  <si>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</si>
  <si>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</si>
  <si>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</si>
  <si>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</si>
  <si>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</si>
  <si>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</si>
  <si>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</si>
  <si>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</si>
  <si>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</si>
  <si>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</si>
  <si>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</si>
  <si>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</si>
  <si>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</si>
  <si>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</si>
  <si>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</si>
  <si>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</si>
  <si>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</si>
  <si>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</si>
  <si>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</si>
  <si>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</si>
  <si>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</si>
  <si>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</si>
  <si>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</si>
  <si>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</si>
  <si>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</si>
  <si>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</si>
  <si>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</si>
  <si>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</si>
  <si>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</si>
  <si>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</si>
  <si>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</si>
  <si>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</si>
  <si>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</si>
  <si>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</si>
  <si>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</si>
  <si>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</si>
  <si>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</si>
  <si>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</si>
  <si>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</si>
  <si>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</si>
  <si>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</si>
  <si>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</si>
  <si>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</si>
  <si>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</si>
  <si>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</si>
  <si>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</si>
  <si>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</si>
  <si>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</si>
  <si>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</si>
  <si>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</si>
  <si>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</si>
  <si>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</si>
  <si>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</si>
  <si>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</si>
  <si>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</si>
  <si>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</si>
  <si>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</si>
  <si>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</si>
  <si>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</si>
  <si>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</si>
  <si>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</si>
  <si>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</si>
  <si>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</si>
  <si>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</si>
  <si>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</si>
  <si>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</si>
  <si>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</si>
  <si>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</si>
  <si>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</si>
  <si>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</si>
  <si>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</si>
  <si>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</si>
  <si>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</si>
  <si>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</si>
  <si>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</si>
  <si>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</si>
  <si>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</si>
  <si>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</si>
  <si>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</si>
  <si>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</si>
  <si>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</si>
  <si>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</si>
  <si>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</si>
  <si>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</si>
  <si>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</si>
  <si>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</si>
  <si>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</si>
  <si>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</si>
  <si>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</si>
  <si>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</si>
  <si>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</si>
  <si>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</si>
  <si>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</si>
  <si>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</si>
  <si>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</si>
  <si>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</si>
  <si>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</si>
  <si>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</si>
  <si>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</si>
  <si>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</si>
  <si>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</si>
  <si>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</si>
  <si>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</si>
  <si>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</si>
  <si>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</si>
  <si>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</si>
  <si>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</si>
  <si>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</si>
  <si>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</si>
  <si>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</si>
  <si>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</si>
  <si>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</si>
  <si>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</si>
  <si>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</si>
  <si>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</si>
  <si>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</si>
  <si>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</si>
  <si>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</si>
  <si>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</si>
  <si>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</si>
  <si>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</si>
  <si>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</si>
  <si>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</si>
  <si>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</si>
  <si>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</si>
  <si>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</si>
  <si>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</si>
  <si>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</si>
  <si>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</si>
  <si>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</si>
  <si>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</si>
  <si>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</si>
  <si>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</si>
  <si>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</si>
  <si>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</si>
  <si>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</si>
  <si>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</si>
  <si>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</si>
  <si>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</si>
  <si>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</si>
  <si>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</si>
  <si>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</si>
  <si>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</si>
  <si>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</si>
  <si>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</si>
  <si>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</si>
  <si>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</si>
  <si>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</si>
  <si>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</si>
  <si>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</si>
  <si>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</si>
  <si>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</si>
  <si>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</si>
  <si>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</si>
  <si>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</si>
  <si>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</si>
  <si>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</si>
  <si>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</si>
  <si>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</si>
  <si>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</si>
  <si>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</si>
  <si>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</si>
  <si>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</si>
  <si>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</si>
  <si>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</si>
  <si>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</si>
  <si>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</si>
  <si>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</si>
  <si>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</si>
  <si>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</si>
  <si>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</si>
  <si>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</si>
  <si>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</si>
  <si>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</si>
  <si>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</si>
  <si>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</si>
  <si>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</si>
  <si>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</si>
  <si>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</si>
  <si>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</si>
  <si>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</si>
  <si>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</si>
  <si>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</si>
  <si>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</si>
  <si>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</si>
  <si>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</si>
  <si>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</si>
  <si>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</si>
  <si>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</si>
  <si>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</si>
  <si>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</si>
  <si>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</si>
  <si>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</si>
  <si>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</si>
  <si>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</si>
  <si>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</si>
  <si>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</si>
  <si>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</si>
  <si>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13036</t>
  </si>
  <si>
    <t>RETIE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</si>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</sst>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114278.13993459579</c:v>
                </c:pt>
                <c:pt idx="1">
                  <c:v>23124.206188291508</c:v>
                </c:pt>
                <c:pt idx="2">
                  <c:v>550.99</c:v>
                </c:pt>
                <c:pt idx="3">
                  <c:v>11513.505497841001</c:v>
                </c:pt>
                <c:pt idx="4">
                  <c:v>7023.6984979432636</c:v>
                </c:pt>
                <c:pt idx="5">
                  <c:v>123543.16492900057</c:v>
                </c:pt>
                <c:pt idx="6">
                  <c:v>673.03697685731299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114278.13993459579</c:v>
                </c:pt>
                <c:pt idx="1">
                  <c:v>23124.206188291508</c:v>
                </c:pt>
                <c:pt idx="2">
                  <c:v>550.99</c:v>
                </c:pt>
                <c:pt idx="3">
                  <c:v>11513.505497841001</c:v>
                </c:pt>
                <c:pt idx="4">
                  <c:v>7023.6984979432636</c:v>
                </c:pt>
                <c:pt idx="5">
                  <c:v>123543.16492900057</c:v>
                </c:pt>
                <c:pt idx="6">
                  <c:v>673.03697685731299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17906.18496088637</c:v>
                </c:pt>
                <c:pt idx="1">
                  <c:v>4439.8100899273531</c:v>
                </c:pt>
                <c:pt idx="2">
                  <c:v>103.84877534172998</c:v>
                </c:pt>
                <c:pt idx="3">
                  <c:v>2859.2698193762735</c:v>
                </c:pt>
                <c:pt idx="4">
                  <c:v>1328.3315766011597</c:v>
                </c:pt>
                <c:pt idx="5">
                  <c:v>30955.775286012071</c:v>
                </c:pt>
                <c:pt idx="6">
                  <c:v>170.0431713564262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17906.18496088637</c:v>
                </c:pt>
                <c:pt idx="1">
                  <c:v>4439.8100899273531</c:v>
                </c:pt>
                <c:pt idx="2">
                  <c:v>103.84877534172998</c:v>
                </c:pt>
                <c:pt idx="3">
                  <c:v>2859.2698193762735</c:v>
                </c:pt>
                <c:pt idx="4">
                  <c:v>1328.3315766011597</c:v>
                </c:pt>
                <c:pt idx="5">
                  <c:v>30955.775286012071</c:v>
                </c:pt>
                <c:pt idx="6">
                  <c:v>170.0431713564262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4456</v>
      </c>
      <c r="C9" s="342">
        <v>4868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2754.68</v>
      </c>
    </row>
    <row r="15" spans="1:6">
      <c r="A15" s="348" t="s">
        <v>184</v>
      </c>
      <c r="B15" s="334">
        <v>11142</v>
      </c>
    </row>
    <row r="16" spans="1:6">
      <c r="A16" s="348" t="s">
        <v>6</v>
      </c>
      <c r="B16" s="334">
        <v>1877</v>
      </c>
    </row>
    <row r="17" spans="1:6">
      <c r="A17" s="348" t="s">
        <v>7</v>
      </c>
      <c r="B17" s="334">
        <v>192</v>
      </c>
    </row>
    <row r="18" spans="1:6">
      <c r="A18" s="348" t="s">
        <v>8</v>
      </c>
      <c r="B18" s="334">
        <v>1012</v>
      </c>
    </row>
    <row r="19" spans="1:6">
      <c r="A19" s="348" t="s">
        <v>9</v>
      </c>
      <c r="B19" s="334">
        <v>875</v>
      </c>
    </row>
    <row r="20" spans="1:6">
      <c r="A20" s="348" t="s">
        <v>10</v>
      </c>
      <c r="B20" s="334">
        <v>481</v>
      </c>
    </row>
    <row r="21" spans="1:6">
      <c r="A21" s="348" t="s">
        <v>11</v>
      </c>
      <c r="B21" s="334">
        <v>5787</v>
      </c>
    </row>
    <row r="22" spans="1:6">
      <c r="A22" s="348" t="s">
        <v>12</v>
      </c>
      <c r="B22" s="334">
        <v>15127</v>
      </c>
    </row>
    <row r="23" spans="1:6">
      <c r="A23" s="348" t="s">
        <v>13</v>
      </c>
      <c r="B23" s="334">
        <v>286</v>
      </c>
    </row>
    <row r="24" spans="1:6">
      <c r="A24" s="348" t="s">
        <v>14</v>
      </c>
      <c r="B24" s="334">
        <v>15</v>
      </c>
    </row>
    <row r="25" spans="1:6">
      <c r="A25" s="348" t="s">
        <v>15</v>
      </c>
      <c r="B25" s="334">
        <v>1667</v>
      </c>
    </row>
    <row r="26" spans="1:6">
      <c r="A26" s="348" t="s">
        <v>16</v>
      </c>
      <c r="B26" s="334">
        <v>432</v>
      </c>
    </row>
    <row r="27" spans="1:6">
      <c r="A27" s="348" t="s">
        <v>17</v>
      </c>
      <c r="B27" s="334">
        <v>1532</v>
      </c>
    </row>
    <row r="28" spans="1:6" s="356" customFormat="1">
      <c r="A28" s="355" t="s">
        <v>18</v>
      </c>
      <c r="B28" s="355">
        <v>53328</v>
      </c>
    </row>
    <row r="29" spans="1:6">
      <c r="A29" s="355" t="s">
        <v>744</v>
      </c>
      <c r="B29" s="355">
        <v>182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11954.6453015031</v>
      </c>
    </row>
    <row r="39" spans="1:6">
      <c r="A39" s="348" t="s">
        <v>30</v>
      </c>
      <c r="B39" s="348" t="s">
        <v>31</v>
      </c>
      <c r="C39" s="334">
        <v>2775</v>
      </c>
      <c r="D39" s="334">
        <v>50958443.685532197</v>
      </c>
      <c r="E39" s="334">
        <v>4375</v>
      </c>
      <c r="F39" s="334">
        <v>15439760.1098656</v>
      </c>
    </row>
    <row r="40" spans="1:6">
      <c r="A40" s="348" t="s">
        <v>30</v>
      </c>
      <c r="B40" s="348" t="s">
        <v>29</v>
      </c>
      <c r="C40" s="334">
        <v>0</v>
      </c>
      <c r="D40" s="334">
        <v>0</v>
      </c>
      <c r="E40" s="334">
        <v>0</v>
      </c>
      <c r="F40" s="334">
        <v>0</v>
      </c>
    </row>
    <row r="41" spans="1:6">
      <c r="A41" s="348" t="s">
        <v>32</v>
      </c>
      <c r="B41" s="348" t="s">
        <v>33</v>
      </c>
      <c r="C41" s="334">
        <v>57</v>
      </c>
      <c r="D41" s="334">
        <v>1272834.3927501901</v>
      </c>
      <c r="E41" s="334">
        <v>111</v>
      </c>
      <c r="F41" s="334">
        <v>977717.977697202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71355.267429958607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658849.11151361105</v>
      </c>
      <c r="E48" s="334">
        <v>26</v>
      </c>
      <c r="F48" s="334">
        <v>1332891.02678303</v>
      </c>
    </row>
    <row r="49" spans="1:6">
      <c r="A49" s="348" t="s">
        <v>32</v>
      </c>
      <c r="B49" s="348" t="s">
        <v>40</v>
      </c>
      <c r="C49" s="334">
        <v>0</v>
      </c>
      <c r="D49" s="334">
        <v>0</v>
      </c>
      <c r="E49" s="334">
        <v>0</v>
      </c>
      <c r="F49" s="334">
        <v>0</v>
      </c>
    </row>
    <row r="50" spans="1:6">
      <c r="A50" s="348" t="s">
        <v>32</v>
      </c>
      <c r="B50" s="348" t="s">
        <v>41</v>
      </c>
      <c r="C50" s="334">
        <v>4</v>
      </c>
      <c r="D50" s="334">
        <v>365632.54220905498</v>
      </c>
      <c r="E50" s="334">
        <v>8</v>
      </c>
      <c r="F50" s="334">
        <v>462937.39029749099</v>
      </c>
    </row>
    <row r="51" spans="1:6">
      <c r="A51" s="348" t="s">
        <v>42</v>
      </c>
      <c r="B51" s="348" t="s">
        <v>43</v>
      </c>
      <c r="C51" s="334">
        <v>3</v>
      </c>
      <c r="D51" s="334">
        <v>99945.987909358795</v>
      </c>
      <c r="E51" s="334">
        <v>94</v>
      </c>
      <c r="F51" s="334">
        <v>1743203.2487989201</v>
      </c>
    </row>
    <row r="52" spans="1:6">
      <c r="A52" s="348" t="s">
        <v>42</v>
      </c>
      <c r="B52" s="348" t="s">
        <v>29</v>
      </c>
      <c r="C52" s="334">
        <v>9</v>
      </c>
      <c r="D52" s="334">
        <v>309168.59185357101</v>
      </c>
      <c r="E52" s="334">
        <v>12</v>
      </c>
      <c r="F52" s="334">
        <v>162169.83988612</v>
      </c>
    </row>
    <row r="53" spans="1:6">
      <c r="A53" s="348" t="s">
        <v>44</v>
      </c>
      <c r="B53" s="348" t="s">
        <v>45</v>
      </c>
      <c r="C53" s="334">
        <v>57</v>
      </c>
      <c r="D53" s="334">
        <v>1074697.73254199</v>
      </c>
      <c r="E53" s="334">
        <v>164</v>
      </c>
      <c r="F53" s="334">
        <v>680572.900191925</v>
      </c>
    </row>
    <row r="54" spans="1:6">
      <c r="A54" s="348" t="s">
        <v>46</v>
      </c>
      <c r="B54" s="348" t="s">
        <v>47</v>
      </c>
      <c r="C54" s="334">
        <v>0</v>
      </c>
      <c r="D54" s="334">
        <v>0</v>
      </c>
      <c r="E54" s="334">
        <v>1</v>
      </c>
      <c r="F54" s="334">
        <v>550990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1867431.8955622399</v>
      </c>
      <c r="E57" s="334">
        <v>72</v>
      </c>
      <c r="F57" s="334">
        <v>1062230.98708408</v>
      </c>
    </row>
    <row r="58" spans="1:6">
      <c r="A58" s="348" t="s">
        <v>49</v>
      </c>
      <c r="B58" s="348" t="s">
        <v>51</v>
      </c>
      <c r="C58" s="334">
        <v>11</v>
      </c>
      <c r="D58" s="334">
        <v>443467.15244440601</v>
      </c>
      <c r="E58" s="334">
        <v>23</v>
      </c>
      <c r="F58" s="334">
        <v>250510.21466796301</v>
      </c>
    </row>
    <row r="59" spans="1:6">
      <c r="A59" s="348" t="s">
        <v>49</v>
      </c>
      <c r="B59" s="348" t="s">
        <v>52</v>
      </c>
      <c r="C59" s="334">
        <v>45</v>
      </c>
      <c r="D59" s="334">
        <v>1749649.3212788501</v>
      </c>
      <c r="E59" s="334">
        <v>102</v>
      </c>
      <c r="F59" s="334">
        <v>2737175.73352275</v>
      </c>
    </row>
    <row r="60" spans="1:6">
      <c r="A60" s="348" t="s">
        <v>49</v>
      </c>
      <c r="B60" s="348" t="s">
        <v>53</v>
      </c>
      <c r="C60" s="334">
        <v>43</v>
      </c>
      <c r="D60" s="334">
        <v>2528196.1287036198</v>
      </c>
      <c r="E60" s="334">
        <v>62</v>
      </c>
      <c r="F60" s="334">
        <v>2033977.12353938</v>
      </c>
    </row>
    <row r="61" spans="1:6">
      <c r="A61" s="348" t="s">
        <v>49</v>
      </c>
      <c r="B61" s="348" t="s">
        <v>54</v>
      </c>
      <c r="C61" s="334">
        <v>67</v>
      </c>
      <c r="D61" s="334">
        <v>1684463.5599740699</v>
      </c>
      <c r="E61" s="334">
        <v>107</v>
      </c>
      <c r="F61" s="334">
        <v>1012589.55652658</v>
      </c>
    </row>
    <row r="62" spans="1:6">
      <c r="A62" s="348" t="s">
        <v>49</v>
      </c>
      <c r="B62" s="348" t="s">
        <v>55</v>
      </c>
      <c r="C62" s="334">
        <v>5</v>
      </c>
      <c r="D62" s="334">
        <v>573632.968403087</v>
      </c>
      <c r="E62" s="334">
        <v>8</v>
      </c>
      <c r="F62" s="334">
        <v>88074.922215458195</v>
      </c>
    </row>
    <row r="63" spans="1:6">
      <c r="A63" s="348" t="s">
        <v>49</v>
      </c>
      <c r="B63" s="348" t="s">
        <v>29</v>
      </c>
      <c r="C63" s="334">
        <v>89</v>
      </c>
      <c r="D63" s="334">
        <v>4470760.8295124201</v>
      </c>
      <c r="E63" s="334">
        <v>86</v>
      </c>
      <c r="F63" s="334">
        <v>1225398.33409273</v>
      </c>
    </row>
    <row r="64" spans="1:6">
      <c r="A64" s="348" t="s">
        <v>56</v>
      </c>
      <c r="B64" s="348" t="s">
        <v>57</v>
      </c>
      <c r="C64" s="334">
        <v>0</v>
      </c>
      <c r="D64" s="334">
        <v>0</v>
      </c>
      <c r="E64" s="334">
        <v>0</v>
      </c>
      <c r="F64" s="334">
        <v>0</v>
      </c>
    </row>
    <row r="65" spans="1:6">
      <c r="A65" s="348" t="s">
        <v>56</v>
      </c>
      <c r="B65" s="348" t="s">
        <v>29</v>
      </c>
      <c r="C65" s="334">
        <v>2</v>
      </c>
      <c r="D65" s="334">
        <v>34557.296114138102</v>
      </c>
      <c r="E65" s="334">
        <v>1</v>
      </c>
      <c r="F65" s="334">
        <v>5396.5971569327003</v>
      </c>
    </row>
    <row r="66" spans="1:6">
      <c r="A66" s="348" t="s">
        <v>56</v>
      </c>
      <c r="B66" s="348" t="s">
        <v>58</v>
      </c>
      <c r="C66" s="334">
        <v>0</v>
      </c>
      <c r="D66" s="334">
        <v>0</v>
      </c>
      <c r="E66" s="334">
        <v>8</v>
      </c>
      <c r="F66" s="334">
        <v>26282.970195615999</v>
      </c>
    </row>
    <row r="67" spans="1:6">
      <c r="A67" s="355" t="s">
        <v>56</v>
      </c>
      <c r="B67" s="355" t="s">
        <v>59</v>
      </c>
      <c r="C67" s="334">
        <v>0</v>
      </c>
      <c r="D67" s="334">
        <v>0</v>
      </c>
      <c r="E67" s="334">
        <v>0</v>
      </c>
      <c r="F67" s="334">
        <v>0</v>
      </c>
    </row>
    <row r="68" spans="1:6">
      <c r="A68" s="341" t="s">
        <v>56</v>
      </c>
      <c r="B68" s="341" t="s">
        <v>60</v>
      </c>
      <c r="C68" s="334">
        <v>0</v>
      </c>
      <c r="D68" s="334">
        <v>0</v>
      </c>
      <c r="E68" s="334">
        <v>4</v>
      </c>
      <c r="F68" s="334">
        <v>54863.539392020299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78900193</v>
      </c>
      <c r="E73" s="476">
        <v>80146329.03526558</v>
      </c>
    </row>
    <row r="74" spans="1:6">
      <c r="A74" s="348" t="s">
        <v>64</v>
      </c>
      <c r="B74" s="348" t="s">
        <v>657</v>
      </c>
      <c r="C74" s="1272" t="s">
        <v>659</v>
      </c>
      <c r="D74" s="476">
        <v>6314660.5617868779</v>
      </c>
      <c r="E74" s="476">
        <v>6495786.3974070763</v>
      </c>
    </row>
    <row r="75" spans="1:6">
      <c r="A75" s="348" t="s">
        <v>65</v>
      </c>
      <c r="B75" s="348" t="s">
        <v>656</v>
      </c>
      <c r="C75" s="1272" t="s">
        <v>660</v>
      </c>
      <c r="D75" s="476">
        <v>14632396</v>
      </c>
      <c r="E75" s="476">
        <v>14863488.482616855</v>
      </c>
    </row>
    <row r="76" spans="1:6">
      <c r="A76" s="348" t="s">
        <v>65</v>
      </c>
      <c r="B76" s="348" t="s">
        <v>657</v>
      </c>
      <c r="C76" s="1272" t="s">
        <v>661</v>
      </c>
      <c r="D76" s="476">
        <v>510584.56178687769</v>
      </c>
      <c r="E76" s="476">
        <v>527496.1509162134</v>
      </c>
    </row>
    <row r="77" spans="1:6">
      <c r="A77" s="348" t="s">
        <v>66</v>
      </c>
      <c r="B77" s="348" t="s">
        <v>656</v>
      </c>
      <c r="C77" s="1272" t="s">
        <v>662</v>
      </c>
      <c r="D77" s="476">
        <v>27002302</v>
      </c>
      <c r="E77" s="476">
        <v>27018079.524835251</v>
      </c>
    </row>
    <row r="78" spans="1:6">
      <c r="A78" s="341" t="s">
        <v>66</v>
      </c>
      <c r="B78" s="341" t="s">
        <v>657</v>
      </c>
      <c r="C78" s="341" t="s">
        <v>663</v>
      </c>
      <c r="D78" s="1273">
        <v>10217778</v>
      </c>
      <c r="E78" s="1273">
        <v>10238661.071003854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182538.87642624456</v>
      </c>
      <c r="C83" s="476">
        <v>183342.27336965463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4265.9928465628918</v>
      </c>
    </row>
    <row r="92" spans="1:6">
      <c r="A92" s="341" t="s">
        <v>69</v>
      </c>
      <c r="B92" s="342">
        <v>658.77006139051446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5</v>
      </c>
    </row>
    <row r="131" spans="1:6">
      <c r="A131" s="348" t="s">
        <v>296</v>
      </c>
      <c r="B131" s="334">
        <v>2</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33464.393404478389</v>
      </c>
      <c r="C3" s="43" t="s">
        <v>170</v>
      </c>
      <c r="D3" s="43"/>
      <c r="E3" s="154"/>
      <c r="F3" s="43"/>
      <c r="G3" s="43"/>
      <c r="H3" s="43"/>
      <c r="I3" s="43"/>
      <c r="J3" s="43"/>
      <c r="K3" s="96"/>
    </row>
    <row r="4" spans="1:11">
      <c r="A4" s="383" t="s">
        <v>171</v>
      </c>
      <c r="B4" s="49">
        <f>IF(ISERROR('SEAP template'!B69),0,'SEAP template'!B69)</f>
        <v>4924.7629079534063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0.1884766971119802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0.1884766971119802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103.84877534172998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15439.7601098656</v>
      </c>
      <c r="C5" s="17">
        <f>IF(ISERROR('Eigen informatie GS &amp; warmtenet'!B57),0,'Eigen informatie GS &amp; warmtenet'!B57)</f>
        <v>0</v>
      </c>
      <c r="D5" s="30">
        <f>(SUM(HH_hh_gas_kWh,HH_rest_gas_kWh)/1000)*0.902</f>
        <v>45964.516204350046</v>
      </c>
      <c r="E5" s="17">
        <f>B46*B57</f>
        <v>1995.918395729085</v>
      </c>
      <c r="F5" s="17">
        <f>B51*B62</f>
        <v>16682.411911778563</v>
      </c>
      <c r="G5" s="18"/>
      <c r="H5" s="17"/>
      <c r="I5" s="17"/>
      <c r="J5" s="17">
        <f>B50*B61+C50*C61</f>
        <v>0</v>
      </c>
      <c r="K5" s="17"/>
      <c r="L5" s="17"/>
      <c r="M5" s="17"/>
      <c r="N5" s="17">
        <f>B48*B59+C48*C59</f>
        <v>28215.627132976275</v>
      </c>
      <c r="O5" s="17">
        <f>B69*B70*B71</f>
        <v>322.04666666666668</v>
      </c>
      <c r="P5" s="17">
        <f>B77*B78*B79/1000-B77*B78*B79/1000/B80</f>
        <v>1391.8666666666668</v>
      </c>
    </row>
    <row r="6" spans="1:16">
      <c r="A6" s="16" t="s">
        <v>621</v>
      </c>
      <c r="B6" s="843">
        <f>kWh_PV_kleiner_dan_10kW</f>
        <v>4265.9928465628918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19705.752956428492</v>
      </c>
      <c r="C8" s="21">
        <f>C5</f>
        <v>0</v>
      </c>
      <c r="D8" s="21">
        <f>D5</f>
        <v>45964.516204350046</v>
      </c>
      <c r="E8" s="21">
        <f>E5</f>
        <v>1995.918395729085</v>
      </c>
      <c r="F8" s="21">
        <f>F5</f>
        <v>16682.411911778563</v>
      </c>
      <c r="G8" s="21"/>
      <c r="H8" s="21"/>
      <c r="I8" s="21"/>
      <c r="J8" s="21">
        <f>J5</f>
        <v>0</v>
      </c>
      <c r="K8" s="21"/>
      <c r="L8" s="21">
        <f>L5</f>
        <v>0</v>
      </c>
      <c r="M8" s="21">
        <f>M5</f>
        <v>0</v>
      </c>
      <c r="N8" s="21">
        <f>N5</f>
        <v>28215.627132976275</v>
      </c>
      <c r="O8" s="21">
        <f>O5</f>
        <v>322.04666666666668</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0.1884766971119802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3714.0752313322814</v>
      </c>
      <c r="C12" s="23">
        <f ca="1">C10*C8</f>
        <v>0</v>
      </c>
      <c r="D12" s="23">
        <f>D8*D10</f>
        <v>9284.8322732787092</v>
      </c>
      <c r="E12" s="23">
        <f>E10*E8</f>
        <v>453.07347583050233</v>
      </c>
      <c r="F12" s="23">
        <f>F10*F8</f>
        <v>4454.2039804448768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4456</v>
      </c>
      <c r="C28" s="36"/>
      <c r="D28" s="228"/>
    </row>
    <row r="29" spans="1:7" s="15" customFormat="1">
      <c r="A29" s="230" t="s">
        <v>795</v>
      </c>
      <c r="B29" s="37">
        <f>SUM(HH_hh_gas_aantal,HH_rest_gas_aantal)</f>
        <v>2775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2775</v>
      </c>
      <c r="C32" s="167">
        <f>IF(ISERROR(B32/SUM($B$32,$B$34,$B$35,$B$36,$B$38,$B$39)*100),0,B32/SUM($B$32,$B$34,$B$35,$B$36,$B$38,$B$39)*100)</f>
        <v>63.312799452429843</v>
      </c>
      <c r="D32" s="233"/>
      <c r="G32" s="15"/>
    </row>
    <row r="33" spans="1:7">
      <c r="A33" s="171" t="s">
        <v>72</v>
      </c>
      <c r="B33" s="34" t="s">
        <v>111</v>
      </c>
      <c r="C33" s="167"/>
      <c r="D33" s="233"/>
      <c r="G33" s="15"/>
    </row>
    <row r="34" spans="1:7">
      <c r="A34" s="171" t="s">
        <v>73</v>
      </c>
      <c r="B34" s="33">
        <f>IF((($B$28-$B$32-$B$39-$B$77-$B$38)*C20/100)&lt;0,0,($B$28-$B$32-$B$39-$B$77-$B$38)*C20/100)</f>
        <v>94.265217391304361</v>
      </c>
      <c r="C34" s="167">
        <f>IF(ISERROR(B34/SUM($B$32,$B$34,$B$35,$B$36,$B$38,$B$39)*100),0,B34/SUM($B$32,$B$34,$B$35,$B$36,$B$38,$B$39)*100)</f>
        <v>2.1507008302830104</v>
      </c>
      <c r="D34" s="233"/>
      <c r="G34" s="15"/>
    </row>
    <row r="35" spans="1:7">
      <c r="A35" s="171" t="s">
        <v>74</v>
      </c>
      <c r="B35" s="33">
        <f>IF((($B$28-$B$32-$B$39-$B$77-$B$38)*C21/100)&lt;0,0,($B$28-$B$32-$B$39-$B$77-$B$38)*C21/100)</f>
        <v>478.30869565217398</v>
      </c>
      <c r="C35" s="167">
        <f>IF(ISERROR(B35/SUM($B$32,$B$34,$B$35,$B$36,$B$38,$B$39)*100),0,B35/SUM($B$32,$B$34,$B$35,$B$36,$B$38,$B$39)*100)</f>
        <v>10.91281532402861</v>
      </c>
      <c r="D35" s="233"/>
      <c r="G35" s="15"/>
    </row>
    <row r="36" spans="1:7">
      <c r="A36" s="171" t="s">
        <v>75</v>
      </c>
      <c r="B36" s="33">
        <f>IF((($B$28-$B$32-$B$39-$B$77-$B$38)*C22/100)&lt;0,0,($B$28-$B$32-$B$39-$B$77-$B$38)*C22/100)</f>
        <v>391.02608695652185</v>
      </c>
      <c r="C36" s="167">
        <f>IF(ISERROR(B36/SUM($B$32,$B$34,$B$35,$B$36,$B$38,$B$39)*100),0,B36/SUM($B$32,$B$34,$B$35,$B$36,$B$38,$B$39)*100)</f>
        <v>8.9214256663591573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644.39999999999986</v>
      </c>
      <c r="C39" s="167">
        <f>IF(ISERROR(B39/SUM($B$32,$B$34,$B$35,$B$36,$B$38,$B$39)*100),0,B39/SUM($B$32,$B$34,$B$35,$B$36,$B$38,$B$39)*100)</f>
        <v>14.70225872689938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2775</v>
      </c>
      <c r="C44" s="34" t="s">
        <v>111</v>
      </c>
      <c r="D44" s="174"/>
    </row>
    <row r="45" spans="1:7">
      <c r="A45" s="171" t="s">
        <v>72</v>
      </c>
      <c r="B45" s="33" t="str">
        <f t="shared" si="0"/>
        <v>-</v>
      </c>
      <c r="C45" s="34" t="s">
        <v>111</v>
      </c>
      <c r="D45" s="174"/>
    </row>
    <row r="46" spans="1:7">
      <c r="A46" s="171" t="s">
        <v>73</v>
      </c>
      <c r="B46" s="33">
        <f t="shared" si="0"/>
        <v>94.265217391304361</v>
      </c>
      <c r="C46" s="34" t="s">
        <v>111</v>
      </c>
      <c r="D46" s="174"/>
    </row>
    <row r="47" spans="1:7">
      <c r="A47" s="171" t="s">
        <v>74</v>
      </c>
      <c r="B47" s="33">
        <f t="shared" si="0"/>
        <v>478.30869565217398</v>
      </c>
      <c r="C47" s="34" t="s">
        <v>111</v>
      </c>
      <c r="D47" s="174"/>
    </row>
    <row r="48" spans="1:7">
      <c r="A48" s="171" t="s">
        <v>75</v>
      </c>
      <c r="B48" s="33">
        <f t="shared" si="0"/>
        <v>391.02608695652185</v>
      </c>
      <c r="C48" s="33">
        <f>B48*10</f>
        <v>3910.2608695652184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644.39999999999986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8409.9568716489412</v>
      </c>
      <c r="C5" s="17">
        <f>IF(ISERROR('Eigen informatie GS &amp; warmtenet'!B58),0,'Eigen informatie GS &amp; warmtenet'!B58)</f>
        <v>0</v>
      </c>
      <c r="D5" s="30">
        <f>SUM(D6:D12)</f>
        <v>12012.476874002581</v>
      </c>
      <c r="E5" s="17">
        <f>SUM(E6:E12)</f>
        <v>146.23729591961958</v>
      </c>
      <c r="F5" s="17">
        <f>SUM(F6:F12)</f>
        <v>1479.4149386303629</v>
      </c>
      <c r="G5" s="18"/>
      <c r="H5" s="17"/>
      <c r="I5" s="17"/>
      <c r="J5" s="17">
        <f>SUM(J6:J12)</f>
        <v>2.6024203889890348E-2</v>
      </c>
      <c r="K5" s="17"/>
      <c r="L5" s="17"/>
      <c r="M5" s="17"/>
      <c r="N5" s="17">
        <f>SUM(N6:N12)</f>
        <v>1030.1441838861185</v>
      </c>
      <c r="O5" s="17">
        <f>B38*B39*B40</f>
        <v>7.8166666666666664</v>
      </c>
      <c r="P5" s="17">
        <f>B46*B47*B48/1000-B46*B47*B48/1000/B49</f>
        <v>38.133333333333333</v>
      </c>
      <c r="R5" s="32"/>
    </row>
    <row r="6" spans="1:18">
      <c r="A6" s="32" t="s">
        <v>54</v>
      </c>
      <c r="B6" s="37">
        <f>B26</f>
        <v>1012.5895565265801</v>
      </c>
      <c r="C6" s="33"/>
      <c r="D6" s="37">
        <f>IF(ISERROR(TER_kantoor_gas_kWh/1000),0,TER_kantoor_gas_kWh/1000)*0.902</f>
        <v>1519.3861310966113</v>
      </c>
      <c r="E6" s="33">
        <f>$C$26*'E Balans VL '!I12/100/3.6*1000000</f>
        <v>6.3465745582982694E-3</v>
      </c>
      <c r="F6" s="33">
        <f>$C$26*('E Balans VL '!L12+'E Balans VL '!N12)/100/3.6*1000000</f>
        <v>152.16391589518742</v>
      </c>
      <c r="G6" s="34"/>
      <c r="H6" s="33"/>
      <c r="I6" s="33"/>
      <c r="J6" s="33">
        <f>$C$26*('E Balans VL '!D12+'E Balans VL '!E12)/100/3.6*1000000</f>
        <v>0</v>
      </c>
      <c r="K6" s="33"/>
      <c r="L6" s="33"/>
      <c r="M6" s="33"/>
      <c r="N6" s="33">
        <f>$C$26*'E Balans VL '!Y12/100/3.6*1000000</f>
        <v>0.96839177793971154</v>
      </c>
      <c r="O6" s="33"/>
      <c r="P6" s="33"/>
      <c r="R6" s="32"/>
    </row>
    <row r="7" spans="1:18">
      <c r="A7" s="32" t="s">
        <v>53</v>
      </c>
      <c r="B7" s="37">
        <f t="shared" ref="B7:B12" si="0">B27</f>
        <v>2033.97712353938</v>
      </c>
      <c r="C7" s="33"/>
      <c r="D7" s="37">
        <f>IF(ISERROR(TER_horeca_gas_kWh/1000),0,TER_horeca_gas_kWh/1000)*0.902</f>
        <v>2280.432908090665</v>
      </c>
      <c r="E7" s="33">
        <f>$C$27*'E Balans VL '!I9/100/3.6*1000000</f>
        <v>29.126213613170638</v>
      </c>
      <c r="F7" s="33">
        <f>$C$27*('E Balans VL '!L9+'E Balans VL '!N9)/100/3.6*1000000</f>
        <v>257.56858699005619</v>
      </c>
      <c r="G7" s="34"/>
      <c r="H7" s="33"/>
      <c r="I7" s="33"/>
      <c r="J7" s="33">
        <f>$C$27*('E Balans VL '!D9+'E Balans VL '!E9)/100/3.6*1000000</f>
        <v>0</v>
      </c>
      <c r="K7" s="33"/>
      <c r="L7" s="33"/>
      <c r="M7" s="33"/>
      <c r="N7" s="33">
        <f>$C$27*'E Balans VL '!Y9/100/3.6*1000000</f>
        <v>0.58472357767150718</v>
      </c>
      <c r="O7" s="33"/>
      <c r="P7" s="33"/>
      <c r="R7" s="32"/>
    </row>
    <row r="8" spans="1:18">
      <c r="A8" s="6" t="s">
        <v>52</v>
      </c>
      <c r="B8" s="37">
        <f t="shared" si="0"/>
        <v>2737.1757335227499</v>
      </c>
      <c r="C8" s="33"/>
      <c r="D8" s="37">
        <f>IF(ISERROR(TER_handel_gas_kWh/1000),0,TER_handel_gas_kWh/1000)*0.902</f>
        <v>1578.1836877935227</v>
      </c>
      <c r="E8" s="33">
        <f>$C$28*'E Balans VL '!I13/100/3.6*1000000</f>
        <v>99.277026321480704</v>
      </c>
      <c r="F8" s="33">
        <f>$C$28*('E Balans VL '!L13+'E Balans VL '!N13)/100/3.6*1000000</f>
        <v>527.20776194289056</v>
      </c>
      <c r="G8" s="34"/>
      <c r="H8" s="33"/>
      <c r="I8" s="33"/>
      <c r="J8" s="33">
        <f>$C$28*('E Balans VL '!D13+'E Balans VL '!E13)/100/3.6*1000000</f>
        <v>0</v>
      </c>
      <c r="K8" s="33"/>
      <c r="L8" s="33"/>
      <c r="M8" s="33"/>
      <c r="N8" s="33">
        <f>$C$28*'E Balans VL '!Y13/100/3.6*1000000</f>
        <v>3.7916181869772294</v>
      </c>
      <c r="O8" s="33"/>
      <c r="P8" s="33"/>
      <c r="R8" s="32"/>
    </row>
    <row r="9" spans="1:18">
      <c r="A9" s="32" t="s">
        <v>51</v>
      </c>
      <c r="B9" s="37">
        <f t="shared" si="0"/>
        <v>250.510214667963</v>
      </c>
      <c r="C9" s="33"/>
      <c r="D9" s="37">
        <f>IF(ISERROR(TER_gezond_gas_kWh/1000),0,TER_gezond_gas_kWh/1000)*0.902</f>
        <v>400.00737150485423</v>
      </c>
      <c r="E9" s="33">
        <f>$C$29*'E Balans VL '!I10/100/3.6*1000000</f>
        <v>1.5684412779749343E-2</v>
      </c>
      <c r="F9" s="33">
        <f>$C$29*('E Balans VL '!L10+'E Balans VL '!N10)/100/3.6*1000000</f>
        <v>37.214055119890915</v>
      </c>
      <c r="G9" s="34"/>
      <c r="H9" s="33"/>
      <c r="I9" s="33"/>
      <c r="J9" s="33">
        <f>$C$29*('E Balans VL '!D10+'E Balans VL '!E10)/100/3.6*1000000</f>
        <v>0</v>
      </c>
      <c r="K9" s="33"/>
      <c r="L9" s="33"/>
      <c r="M9" s="33"/>
      <c r="N9" s="33">
        <f>$C$29*'E Balans VL '!Y10/100/3.6*1000000</f>
        <v>3.8749161726535255</v>
      </c>
      <c r="O9" s="33"/>
      <c r="P9" s="33"/>
      <c r="R9" s="32"/>
    </row>
    <row r="10" spans="1:18">
      <c r="A10" s="32" t="s">
        <v>50</v>
      </c>
      <c r="B10" s="37">
        <f t="shared" si="0"/>
        <v>1062.23098708408</v>
      </c>
      <c r="C10" s="33"/>
      <c r="D10" s="37">
        <f>IF(ISERROR(TER_ander_gas_kWh/1000),0,TER_ander_gas_kWh/1000)*0.902</f>
        <v>1684.4235697971405</v>
      </c>
      <c r="E10" s="33">
        <f>$C$30*'E Balans VL '!I14/100/3.6*1000000</f>
        <v>1.2661413788824727</v>
      </c>
      <c r="F10" s="33">
        <f>$C$30*('E Balans VL '!L14+'E Balans VL '!N14)/100/3.6*1000000</f>
        <v>277.92684930183191</v>
      </c>
      <c r="G10" s="34"/>
      <c r="H10" s="33"/>
      <c r="I10" s="33"/>
      <c r="J10" s="33">
        <f>$C$30*('E Balans VL '!D14+'E Balans VL '!E14)/100/3.6*1000000</f>
        <v>2.3056870899097522E-2</v>
      </c>
      <c r="K10" s="33"/>
      <c r="L10" s="33"/>
      <c r="M10" s="33"/>
      <c r="N10" s="33">
        <f>$C$30*'E Balans VL '!Y14/100/3.6*1000000</f>
        <v>902.02056180541626</v>
      </c>
      <c r="O10" s="33"/>
      <c r="P10" s="33"/>
      <c r="R10" s="32"/>
    </row>
    <row r="11" spans="1:18">
      <c r="A11" s="32" t="s">
        <v>55</v>
      </c>
      <c r="B11" s="37">
        <f t="shared" si="0"/>
        <v>88.074922215458201</v>
      </c>
      <c r="C11" s="33"/>
      <c r="D11" s="37">
        <f>IF(ISERROR(TER_onderwijs_gas_kWh/1000),0,TER_onderwijs_gas_kWh/1000)*0.902</f>
        <v>517.41693749958449</v>
      </c>
      <c r="E11" s="33">
        <f>$C$31*'E Balans VL '!I11/100/3.6*1000000</f>
        <v>1.3289087180797881</v>
      </c>
      <c r="F11" s="33">
        <f>$C$31*('E Balans VL '!L11+'E Balans VL '!N11)/100/3.6*1000000</f>
        <v>15.432133410889602</v>
      </c>
      <c r="G11" s="34"/>
      <c r="H11" s="33"/>
      <c r="I11" s="33"/>
      <c r="J11" s="33">
        <f>$C$31*('E Balans VL '!D11+'E Balans VL '!E11)/100/3.6*1000000</f>
        <v>0</v>
      </c>
      <c r="K11" s="33"/>
      <c r="L11" s="33"/>
      <c r="M11" s="33"/>
      <c r="N11" s="33">
        <f>$C$31*'E Balans VL '!Y11/100/3.6*1000000</f>
        <v>0.24784952682487141</v>
      </c>
      <c r="O11" s="33"/>
      <c r="P11" s="33"/>
      <c r="R11" s="32"/>
    </row>
    <row r="12" spans="1:18">
      <c r="A12" s="32" t="s">
        <v>260</v>
      </c>
      <c r="B12" s="37">
        <f t="shared" si="0"/>
        <v>1225.39833409273</v>
      </c>
      <c r="C12" s="33"/>
      <c r="D12" s="37">
        <f>IF(ISERROR(TER_rest_gas_kWh/1000),0,TER_rest_gas_kWh/1000)*0.902</f>
        <v>4032.6262682202032</v>
      </c>
      <c r="E12" s="33">
        <f>$C$32*'E Balans VL '!I8/100/3.6*1000000</f>
        <v>15.216974900667916</v>
      </c>
      <c r="F12" s="33">
        <f>$C$32*('E Balans VL '!L8+'E Balans VL '!N8)/100/3.6*1000000</f>
        <v>211.90163596961645</v>
      </c>
      <c r="G12" s="34"/>
      <c r="H12" s="33"/>
      <c r="I12" s="33"/>
      <c r="J12" s="33">
        <f>$C$32*('E Balans VL '!D8+'E Balans VL '!E8)/100/3.6*1000000</f>
        <v>2.9673329907928246E-3</v>
      </c>
      <c r="K12" s="33"/>
      <c r="L12" s="33"/>
      <c r="M12" s="33"/>
      <c r="N12" s="33">
        <f>$C$32*'E Balans VL '!Y8/100/3.6*1000000</f>
        <v>118.65612283863545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8409.9568716489412</v>
      </c>
      <c r="C16" s="21">
        <f t="shared" ca="1" si="1"/>
        <v>0</v>
      </c>
      <c r="D16" s="21">
        <f t="shared" ca="1" si="1"/>
        <v>12012.476874002581</v>
      </c>
      <c r="E16" s="21">
        <f t="shared" si="1"/>
        <v>146.23729591961958</v>
      </c>
      <c r="F16" s="21">
        <f t="shared" ca="1" si="1"/>
        <v>1479.4149386303629</v>
      </c>
      <c r="G16" s="21">
        <f t="shared" si="1"/>
        <v>0</v>
      </c>
      <c r="H16" s="21">
        <f t="shared" si="1"/>
        <v>0</v>
      </c>
      <c r="I16" s="21">
        <f t="shared" si="1"/>
        <v>0</v>
      </c>
      <c r="J16" s="21">
        <f t="shared" si="1"/>
        <v>2.6024203889890348E-2</v>
      </c>
      <c r="K16" s="21">
        <f t="shared" si="1"/>
        <v>0</v>
      </c>
      <c r="L16" s="21">
        <f t="shared" ca="1" si="1"/>
        <v>0</v>
      </c>
      <c r="M16" s="21">
        <f t="shared" si="1"/>
        <v>0</v>
      </c>
      <c r="N16" s="21">
        <f t="shared" ca="1" si="1"/>
        <v>1030.1441838861185</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0.1884766971119802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1585.0808940225941</v>
      </c>
      <c r="C20" s="23">
        <f t="shared" ref="C20:P20" ca="1" si="2">C16*C18</f>
        <v>0</v>
      </c>
      <c r="D20" s="23">
        <f t="shared" ca="1" si="2"/>
        <v>2426.5203285485213</v>
      </c>
      <c r="E20" s="23">
        <f t="shared" si="2"/>
        <v>33.195866173753643</v>
      </c>
      <c r="F20" s="23">
        <f t="shared" ca="1" si="2"/>
        <v>395.00378861430693</v>
      </c>
      <c r="G20" s="23">
        <f t="shared" si="2"/>
        <v>0</v>
      </c>
      <c r="H20" s="23">
        <f t="shared" si="2"/>
        <v>0</v>
      </c>
      <c r="I20" s="23">
        <f t="shared" si="2"/>
        <v>0</v>
      </c>
      <c r="J20" s="23">
        <f t="shared" si="2"/>
        <v>9.2125681770211833E-3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1012.5895565265801</v>
      </c>
      <c r="C26" s="39">
        <f>IF(ISERROR(B26*3.6/1000000/'E Balans VL '!Z12*100),0,B26*3.6/1000000/'E Balans VL '!Z12*100)</f>
        <v>2.1404539153545385E-2</v>
      </c>
      <c r="D26" s="237" t="s">
        <v>754</v>
      </c>
      <c r="F26" s="6"/>
    </row>
    <row r="27" spans="1:18">
      <c r="A27" s="231" t="s">
        <v>53</v>
      </c>
      <c r="B27" s="33">
        <f>IF(ISERROR(TER_horeca_ele_kWh/1000),0,TER_horeca_ele_kWh/1000)</f>
        <v>2033.97712353938</v>
      </c>
      <c r="C27" s="39">
        <f>IF(ISERROR(B27*3.6/1000000/'E Balans VL '!Z9*100),0,B27*3.6/1000000/'E Balans VL '!Z9*100)</f>
        <v>0.16033765854663287</v>
      </c>
      <c r="D27" s="237" t="s">
        <v>754</v>
      </c>
      <c r="F27" s="6"/>
    </row>
    <row r="28" spans="1:18">
      <c r="A28" s="171" t="s">
        <v>52</v>
      </c>
      <c r="B28" s="33">
        <f>IF(ISERROR(TER_handel_ele_kWh/1000),0,TER_handel_ele_kWh/1000)</f>
        <v>2737.1757335227499</v>
      </c>
      <c r="C28" s="39">
        <f>IF(ISERROR(B28*3.6/1000000/'E Balans VL '!Z13*100),0,B28*3.6/1000000/'E Balans VL '!Z13*100)</f>
        <v>7.9443899216070188E-2</v>
      </c>
      <c r="D28" s="237" t="s">
        <v>754</v>
      </c>
      <c r="F28" s="6"/>
    </row>
    <row r="29" spans="1:18">
      <c r="A29" s="231" t="s">
        <v>51</v>
      </c>
      <c r="B29" s="33">
        <f>IF(ISERROR(TER_gezond_ele_kWh/1000),0,TER_gezond_ele_kWh/1000)</f>
        <v>250.510214667963</v>
      </c>
      <c r="C29" s="39">
        <f>IF(ISERROR(B29*3.6/1000000/'E Balans VL '!Z10*100),0,B29*3.6/1000000/'E Balans VL '!Z10*100)</f>
        <v>2.6382839090841489E-2</v>
      </c>
      <c r="D29" s="237" t="s">
        <v>754</v>
      </c>
      <c r="F29" s="6"/>
    </row>
    <row r="30" spans="1:18">
      <c r="A30" s="231" t="s">
        <v>50</v>
      </c>
      <c r="B30" s="33">
        <f>IF(ISERROR(TER_ander_ele_kWh/1000),0,TER_ander_ele_kWh/1000)</f>
        <v>1062.23098708408</v>
      </c>
      <c r="C30" s="39">
        <f>IF(ISERROR(B30*3.6/1000000/'E Balans VL '!Z14*100),0,B30*3.6/1000000/'E Balans VL '!Z14*100)</f>
        <v>7.8350388322744463E-2</v>
      </c>
      <c r="D30" s="237" t="s">
        <v>754</v>
      </c>
      <c r="F30" s="6"/>
    </row>
    <row r="31" spans="1:18">
      <c r="A31" s="231" t="s">
        <v>55</v>
      </c>
      <c r="B31" s="33">
        <f>IF(ISERROR(TER_onderwijs_ele_kWh/1000),0,TER_onderwijs_ele_kWh/1000)</f>
        <v>88.074922215458201</v>
      </c>
      <c r="C31" s="39">
        <f>IF(ISERROR(B31*3.6/1000000/'E Balans VL '!Z11*100),0,B31*3.6/1000000/'E Balans VL '!Z11*100)</f>
        <v>2.1873128858424185E-2</v>
      </c>
      <c r="D31" s="237" t="s">
        <v>754</v>
      </c>
    </row>
    <row r="32" spans="1:18">
      <c r="A32" s="231" t="s">
        <v>260</v>
      </c>
      <c r="B32" s="33">
        <f>IF(ISERROR(TER_rest_ele_kWh/1000),0,TER_rest_ele_kWh/1000)</f>
        <v>1225.39833409273</v>
      </c>
      <c r="C32" s="39">
        <f>IF(ISERROR(B32*3.6/1000000/'E Balans VL '!Z8*100),0,B32*3.6/1000000/'E Balans VL '!Z8*100)</f>
        <v>1.0083401738637856E-2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2844.9016622076815</v>
      </c>
      <c r="C5" s="17">
        <f>IF(ISERROR('Eigen informatie GS &amp; warmtenet'!B59),0,'Eigen informatie GS &amp; warmtenet'!B59)</f>
        <v>0</v>
      </c>
      <c r="D5" s="30">
        <f>SUM(D6:D15)</f>
        <v>2072.1790739185162</v>
      </c>
      <c r="E5" s="17">
        <f>SUM(E6:E15)</f>
        <v>361.03822544627178</v>
      </c>
      <c r="F5" s="17">
        <f>SUM(F6:F15)</f>
        <v>1085.8010004058642</v>
      </c>
      <c r="G5" s="18"/>
      <c r="H5" s="17"/>
      <c r="I5" s="17"/>
      <c r="J5" s="17">
        <f>SUM(J6:J15)</f>
        <v>4.7717245301236302</v>
      </c>
      <c r="K5" s="17"/>
      <c r="L5" s="17"/>
      <c r="M5" s="17"/>
      <c r="N5" s="17">
        <f>SUM(N6:N15)</f>
        <v>655.00681143480631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71.355267429958602</v>
      </c>
      <c r="C8" s="33"/>
      <c r="D8" s="37">
        <f>IF( ISERROR(IND_metaal_Gas_kWH/1000),0,IND_metaal_Gas_kWH/1000)*0.902</f>
        <v>0</v>
      </c>
      <c r="E8" s="33">
        <f>C30*'E Balans VL '!I18/100/3.6*1000000</f>
        <v>0.65604276844579623</v>
      </c>
      <c r="F8" s="33">
        <f>C30*'E Balans VL '!L18/100/3.6*1000000+C30*'E Balans VL '!N18/100/3.6*1000000</f>
        <v>6.690748427602446</v>
      </c>
      <c r="G8" s="34"/>
      <c r="H8" s="33"/>
      <c r="I8" s="33"/>
      <c r="J8" s="40">
        <f>C30*'E Balans VL '!D18/100/3.6*1000000+C30*'E Balans VL '!E18/100/3.6*1000000</f>
        <v>0</v>
      </c>
      <c r="K8" s="33"/>
      <c r="L8" s="33"/>
      <c r="M8" s="33"/>
      <c r="N8" s="33">
        <f>C30*'E Balans VL '!Y18/100/3.6*1000000</f>
        <v>1.0180008094335029</v>
      </c>
      <c r="O8" s="33"/>
      <c r="P8" s="33"/>
      <c r="R8" s="32"/>
    </row>
    <row r="9" spans="1:18">
      <c r="A9" s="6" t="s">
        <v>33</v>
      </c>
      <c r="B9" s="37">
        <f t="shared" si="0"/>
        <v>977.71797769720206</v>
      </c>
      <c r="C9" s="33"/>
      <c r="D9" s="37">
        <f>IF( ISERROR(IND_andere_gas_kWh/1000),0,IND_andere_gas_kWh/1000)*0.902</f>
        <v>1148.0966222606714</v>
      </c>
      <c r="E9" s="33">
        <f>C31*'E Balans VL '!I19/100/3.6*1000000</f>
        <v>285.80599880487961</v>
      </c>
      <c r="F9" s="33">
        <f>C31*'E Balans VL '!L19/100/3.6*1000000+C31*'E Balans VL '!N19/100/3.6*1000000</f>
        <v>785.67040153046264</v>
      </c>
      <c r="G9" s="34"/>
      <c r="H9" s="33"/>
      <c r="I9" s="33"/>
      <c r="J9" s="40">
        <f>C31*'E Balans VL '!D19/100/3.6*1000000+C31*'E Balans VL '!E19/100/3.6*1000000</f>
        <v>0</v>
      </c>
      <c r="K9" s="33"/>
      <c r="L9" s="33"/>
      <c r="M9" s="33"/>
      <c r="N9" s="33">
        <f>C31*'E Balans VL '!Y19/100/3.6*1000000</f>
        <v>323.05318316190863</v>
      </c>
      <c r="O9" s="33"/>
      <c r="P9" s="33"/>
      <c r="R9" s="32"/>
    </row>
    <row r="10" spans="1:18">
      <c r="A10" s="6" t="s">
        <v>41</v>
      </c>
      <c r="B10" s="37">
        <f t="shared" si="0"/>
        <v>462.93739029749099</v>
      </c>
      <c r="C10" s="33"/>
      <c r="D10" s="37">
        <f>IF( ISERROR(IND_voed_gas_kWh/1000),0,IND_voed_gas_kWh/1000)*0.902</f>
        <v>329.8005530725676</v>
      </c>
      <c r="E10" s="33">
        <f>C32*'E Balans VL '!I20/100/3.6*1000000</f>
        <v>0.97935122710359324</v>
      </c>
      <c r="F10" s="33">
        <f>C32*'E Balans VL '!L20/100/3.6*1000000+C32*'E Balans VL '!N20/100/3.6*1000000</f>
        <v>29.434032151791769</v>
      </c>
      <c r="G10" s="34"/>
      <c r="H10" s="33"/>
      <c r="I10" s="33"/>
      <c r="J10" s="40">
        <f>C32*'E Balans VL '!D20/100/3.6*1000000+C32*'E Balans VL '!E20/100/3.6*1000000</f>
        <v>0</v>
      </c>
      <c r="K10" s="33"/>
      <c r="L10" s="33"/>
      <c r="M10" s="33"/>
      <c r="N10" s="33">
        <f>C32*'E Balans VL '!Y20/100/3.6*1000000</f>
        <v>31.947248308320734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1332.8910267830299</v>
      </c>
      <c r="C15" s="33"/>
      <c r="D15" s="37">
        <f>IF( ISERROR(IND_rest_gas_kWh/1000),0,IND_rest_gas_kWh/1000)*0.902</f>
        <v>594.28189858527719</v>
      </c>
      <c r="E15" s="33">
        <f>C37*'E Balans VL '!I15/100/3.6*1000000</f>
        <v>73.596832645842753</v>
      </c>
      <c r="F15" s="33">
        <f>C37*'E Balans VL '!L15/100/3.6*1000000+C37*'E Balans VL '!N15/100/3.6*1000000</f>
        <v>264.00581829600753</v>
      </c>
      <c r="G15" s="34"/>
      <c r="H15" s="33"/>
      <c r="I15" s="33"/>
      <c r="J15" s="40">
        <f>C37*'E Balans VL '!D15/100/3.6*1000000+C37*'E Balans VL '!E15/100/3.6*1000000</f>
        <v>4.7717245301236302</v>
      </c>
      <c r="K15" s="33"/>
      <c r="L15" s="33"/>
      <c r="M15" s="33"/>
      <c r="N15" s="33">
        <f>C37*'E Balans VL '!Y15/100/3.6*1000000</f>
        <v>298.98837915514343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2844.9016622076815</v>
      </c>
      <c r="C18" s="21">
        <f>C5+C16</f>
        <v>0</v>
      </c>
      <c r="D18" s="21">
        <f>MAX((D5+D16),0)</f>
        <v>2072.1790739185162</v>
      </c>
      <c r="E18" s="21">
        <f>MAX((E5+E16),0)</f>
        <v>361.03822544627178</v>
      </c>
      <c r="F18" s="21">
        <f>MAX((F5+F16),0)</f>
        <v>1085.8010004058642</v>
      </c>
      <c r="G18" s="21"/>
      <c r="H18" s="21"/>
      <c r="I18" s="21"/>
      <c r="J18" s="21">
        <f>MAX((J5+J16),0)</f>
        <v>4.7717245301236302</v>
      </c>
      <c r="K18" s="21"/>
      <c r="L18" s="21">
        <f>MAX((L5+L16),0)</f>
        <v>0</v>
      </c>
      <c r="M18" s="21"/>
      <c r="N18" s="21">
        <f>MAX((N5+N16),0)</f>
        <v>655.00681143480631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0.1884766971119802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536.19766890128619</v>
      </c>
      <c r="C22" s="23">
        <f ca="1">C18*C20</f>
        <v>0</v>
      </c>
      <c r="D22" s="23">
        <f>D18*D20</f>
        <v>418.58017293154029</v>
      </c>
      <c r="E22" s="23">
        <f>E18*E20</f>
        <v>81.955677176303695</v>
      </c>
      <c r="F22" s="23">
        <f>F18*F20</f>
        <v>289.90886710836577</v>
      </c>
      <c r="G22" s="23"/>
      <c r="H22" s="23"/>
      <c r="I22" s="23"/>
      <c r="J22" s="23">
        <f>J18*J20</f>
        <v>1.689190483663765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71.355267429958602</v>
      </c>
      <c r="C30" s="39">
        <f>IF(ISERROR(B30*3.6/1000000/'E Balans VL '!Z18*100),0,B30*3.6/1000000/'E Balans VL '!Z18*100)</f>
        <v>4.0438859721283627E-3</v>
      </c>
      <c r="D30" s="237" t="s">
        <v>754</v>
      </c>
    </row>
    <row r="31" spans="1:18">
      <c r="A31" s="6" t="s">
        <v>33</v>
      </c>
      <c r="B31" s="37">
        <f>IF( ISERROR(IND_ander_ele_kWh/1000),0,IND_ander_ele_kWh/1000)</f>
        <v>977.71797769720206</v>
      </c>
      <c r="C31" s="39">
        <f>IF(ISERROR(B31*3.6/1000000/'E Balans VL '!Z19*100),0,B31*3.6/1000000/'E Balans VL '!Z19*100)</f>
        <v>4.4345216321543021E-2</v>
      </c>
      <c r="D31" s="237" t="s">
        <v>754</v>
      </c>
    </row>
    <row r="32" spans="1:18">
      <c r="A32" s="171" t="s">
        <v>41</v>
      </c>
      <c r="B32" s="37">
        <f>IF( ISERROR(IND_voed_ele_kWh/1000),0,IND_voed_ele_kWh/1000)</f>
        <v>462.93739029749099</v>
      </c>
      <c r="C32" s="39">
        <f>IF(ISERROR(B32*3.6/1000000/'E Balans VL '!Z20*100),0,B32*3.6/1000000/'E Balans VL '!Z20*100)</f>
        <v>1.4320755040207234E-2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1332.8910267830299</v>
      </c>
      <c r="C37" s="39">
        <f>IF(ISERROR(B37*3.6/1000000/'E Balans VL '!Z15*100),0,B37*3.6/1000000/'E Balans VL '!Z15*100)</f>
        <v>1.0564798333117832E-2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1905.3730886850401</v>
      </c>
      <c r="C5" s="17">
        <f>'Eigen informatie GS &amp; warmtenet'!B60</f>
        <v>0</v>
      </c>
      <c r="D5" s="30">
        <f>IF(ISERROR(SUM(LB_lb_gas_kWh,LB_rest_gas_kWh,onbekend_gas_kWh)/1000),0,SUM(LB_lb_gas_kWh,LB_rest_gas_kWh,onbekend_gas_kWh)/1000)*0.902</f>
        <v>1338.3987056990377</v>
      </c>
      <c r="E5" s="17">
        <f>B17*'E Balans VL '!I25/3.6*1000000/100</f>
        <v>56.00473475758249</v>
      </c>
      <c r="F5" s="17">
        <f>B17*('E Balans VL '!L25/3.6*1000000+'E Balans VL '!N25/3.6*1000000)/100</f>
        <v>7937.6813265043447</v>
      </c>
      <c r="G5" s="18"/>
      <c r="H5" s="17"/>
      <c r="I5" s="17"/>
      <c r="J5" s="17">
        <f>('E Balans VL '!D25+'E Balans VL '!E25)/3.6*1000000*landbouw!B17/100</f>
        <v>276.04764219499503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1905.3730886850401</v>
      </c>
      <c r="C8" s="21">
        <f>C5+C6</f>
        <v>0</v>
      </c>
      <c r="D8" s="21">
        <f>MAX((D5+D6),0)</f>
        <v>1338.3987056990377</v>
      </c>
      <c r="E8" s="21">
        <f>MAX((E5+E6),0)</f>
        <v>56.00473475758249</v>
      </c>
      <c r="F8" s="21">
        <f>MAX((F5+F6),0)</f>
        <v>7937.6813265043447</v>
      </c>
      <c r="G8" s="21"/>
      <c r="H8" s="21"/>
      <c r="I8" s="21"/>
      <c r="J8" s="21">
        <f>MAX((J5+J6),0)</f>
        <v>276.04764219499503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0.1884766971119802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359.11842652140848</v>
      </c>
      <c r="C12" s="23">
        <f ca="1">C8*C10</f>
        <v>0</v>
      </c>
      <c r="D12" s="23">
        <f>D8*D10</f>
        <v>270.35653855120563</v>
      </c>
      <c r="E12" s="23">
        <f>E8*E10</f>
        <v>12.713074789971225</v>
      </c>
      <c r="F12" s="23">
        <f>F8*F10</f>
        <v>2119.3609141766601</v>
      </c>
      <c r="G12" s="23"/>
      <c r="H12" s="23"/>
      <c r="I12" s="23"/>
      <c r="J12" s="23">
        <f>J8*J10</f>
        <v>97.720865337028243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0.27037841921016481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489.01628529914973</v>
      </c>
      <c r="C26" s="247">
        <f>B26*'GWP N2O_CH4'!B5</f>
        <v>10269.341991282145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231.08309855030902</v>
      </c>
      <c r="C27" s="247">
        <f>B27*'GWP N2O_CH4'!B5</f>
        <v>4852.7450695564894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14.797321631796098</v>
      </c>
      <c r="C28" s="247">
        <f>B28*'GWP N2O_CH4'!B4</f>
        <v>4587.1697058567906</v>
      </c>
      <c r="D28" s="50"/>
    </row>
    <row r="29" spans="1:4">
      <c r="A29" s="41" t="s">
        <v>277</v>
      </c>
      <c r="B29" s="247">
        <f>B34*'ha_N2O bodem landbouw'!B4</f>
        <v>17.922610263804827</v>
      </c>
      <c r="C29" s="247">
        <f>B29*'GWP N2O_CH4'!B4</f>
        <v>5556.0091817794964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4.0898778981375899E-3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1.7070777182963805E-4</v>
      </c>
      <c r="C5" s="463" t="s">
        <v>211</v>
      </c>
      <c r="D5" s="448">
        <f>SUM(D6:D11)</f>
        <v>5.6566594712038941E-4</v>
      </c>
      <c r="E5" s="448">
        <f>SUM(E6:E11)</f>
        <v>8.0184706355909295E-4</v>
      </c>
      <c r="F5" s="461" t="s">
        <v>211</v>
      </c>
      <c r="G5" s="448">
        <f>SUM(G6:G11)</f>
        <v>0.3559146683532286</v>
      </c>
      <c r="H5" s="448">
        <f>SUM(H6:H11)</f>
        <v>6.4590828664977423E-2</v>
      </c>
      <c r="I5" s="463" t="s">
        <v>211</v>
      </c>
      <c r="J5" s="463" t="s">
        <v>211</v>
      </c>
      <c r="K5" s="463" t="s">
        <v>211</v>
      </c>
      <c r="L5" s="463" t="s">
        <v>211</v>
      </c>
      <c r="M5" s="448">
        <f>SUM(M6:M11)</f>
        <v>2.2711675943686872E-2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1.117425504948472E-4</v>
      </c>
      <c r="C6" s="449"/>
      <c r="D6" s="962">
        <f>vkm_2011_GW_PW*SUMIFS(TableVerdeelsleutelVkm[CNG],TableVerdeelsleutelVkm[Voertuigtype],"Lichte voertuigen")*SUMIFS(TableECFTransport[EnergieConsumptieFactor (PJ per km)],TableECFTransport[Index],CONCATENATE($A6,"_CNG_CNG"))</f>
        <v>3.3516351709428501E-4</v>
      </c>
      <c r="E6" s="962">
        <f>vkm_2011_GW_PW*SUMIFS(TableVerdeelsleutelVkm[LPG],TableVerdeelsleutelVkm[Voertuigtype],"Lichte voertuigen")*SUMIFS(TableECFTransport[EnergieConsumptieFactor (PJ per km)],TableECFTransport[Index],CONCATENATE($A6,"_LPG_LPG"))</f>
        <v>4.5788150821738564E-4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0.11838716841044426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3.8114325896189197E-2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8.0479421179827926E-3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5.9257084683242409E-2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1.8057196431284839E-5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3.4627872657029355E-3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2.0723159053496869E-5</v>
      </c>
      <c r="C8" s="449"/>
      <c r="D8" s="451">
        <f>vkm_2011_NGW_PW*SUMIFS(TableVerdeelsleutelVkm[CNG],TableVerdeelsleutelVkm[Voertuigtype],"Lichte voertuigen")*SUMIFS(TableECFTransport[EnergieConsumptieFactor (PJ per km)],TableECFTransport[Index],CONCATENATE($A8,"_CNG_CNG"))</f>
        <v>1.1051687915066238E-4</v>
      </c>
      <c r="E8" s="451">
        <f>vkm_2011_NGW_PW*SUMIFS(TableVerdeelsleutelVkm[LPG],TableVerdeelsleutelVkm[Voertuigtype],"Lichte voertuigen")*SUMIFS(TableECFTransport[EnergieConsumptieFactor (PJ per km)],TableECFTransport[Index],CONCATENATE($A8,"_LPG_LPG"))</f>
        <v>1.398264014253799E-4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3.3690488958858456E-2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1.221317295598344E-2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2.3308229205437998E-3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6.1436791037678996E-3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1.7624589743499302E-6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3.590129524456199E-4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3.8242062281293964E-5</v>
      </c>
      <c r="C10" s="449"/>
      <c r="D10" s="451">
        <f>vkm_2011_SW_PW*SUMIFS(TableVerdeelsleutelVkm[CNG],TableVerdeelsleutelVkm[Voertuigtype],"Lichte voertuigen")*SUMIFS(TableECFTransport[EnergieConsumptieFactor (PJ per km)],TableECFTransport[Index],CONCATENATE($A10,"_CNG_CNG"))</f>
        <v>1.1998555087544197E-4</v>
      </c>
      <c r="E10" s="451">
        <f>vkm_2011_SW_PW*SUMIFS(TableVerdeelsleutelVkm[LPG],TableVerdeelsleutelVkm[Voertuigtype],"Lichte voertuigen")*SUMIFS(TableECFTransport[EnergieConsumptieFactor (PJ per km)],TableECFTransport[Index],CONCATENATE($A10,"_LPG_LPG"))</f>
        <v>2.0413915391632732E-4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4.7054537495301953E-2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1.4213439089771192E-2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3.1710009992506325E-3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9.1381709701613648E-2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3.0071067627965609E-5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5.3401096877610937E-3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47.418825508232793</v>
      </c>
      <c r="C14" s="21"/>
      <c r="D14" s="21">
        <f t="shared" ref="D14:M14" si="0">((D5)*10^9/3600)+D12</f>
        <v>157.12942975566372</v>
      </c>
      <c r="E14" s="21">
        <f t="shared" si="0"/>
        <v>222.73529543308138</v>
      </c>
      <c r="F14" s="21"/>
      <c r="G14" s="21">
        <f t="shared" si="0"/>
        <v>98865.18565367462</v>
      </c>
      <c r="H14" s="21">
        <f t="shared" si="0"/>
        <v>17941.896851382618</v>
      </c>
      <c r="I14" s="21"/>
      <c r="J14" s="21"/>
      <c r="K14" s="21"/>
      <c r="L14" s="21"/>
      <c r="M14" s="21">
        <f t="shared" si="0"/>
        <v>6308.7988732463537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0.1884766971119802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8.9373436127210333</v>
      </c>
      <c r="C18" s="23"/>
      <c r="D18" s="23">
        <f t="shared" ref="D18:M18" si="1">D14*D16</f>
        <v>31.740144810644075</v>
      </c>
      <c r="E18" s="23">
        <f t="shared" si="1"/>
        <v>50.560912063309473</v>
      </c>
      <c r="F18" s="23"/>
      <c r="G18" s="23">
        <f t="shared" si="1"/>
        <v>26397.004569531124</v>
      </c>
      <c r="H18" s="23">
        <f t="shared" si="1"/>
        <v>4467.5323159942718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2.292716917165297E-3</v>
      </c>
      <c r="H50" s="321">
        <f t="shared" si="2"/>
        <v>0</v>
      </c>
      <c r="I50" s="321">
        <f t="shared" si="2"/>
        <v>0</v>
      </c>
      <c r="J50" s="321">
        <f t="shared" si="2"/>
        <v>0</v>
      </c>
      <c r="K50" s="321">
        <f t="shared" si="2"/>
        <v>0</v>
      </c>
      <c r="L50" s="321">
        <f t="shared" si="2"/>
        <v>0</v>
      </c>
      <c r="M50" s="321">
        <f t="shared" si="2"/>
        <v>1.3021619952102985E-4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2.292716917165297E-3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1.3021619952102985E-4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636.86581032369361</v>
      </c>
      <c r="H54" s="21">
        <f t="shared" si="3"/>
        <v>0</v>
      </c>
      <c r="I54" s="21">
        <f t="shared" si="3"/>
        <v>0</v>
      </c>
      <c r="J54" s="21">
        <f t="shared" si="3"/>
        <v>0</v>
      </c>
      <c r="K54" s="21">
        <f t="shared" si="3"/>
        <v>0</v>
      </c>
      <c r="L54" s="21">
        <f t="shared" si="3"/>
        <v>0</v>
      </c>
      <c r="M54" s="21">
        <f t="shared" si="3"/>
        <v>36.171166533619399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0.1884766971119802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170.0431713564262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4924.7629079534063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4924.7629079534063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8960.9468716489409</v>
      </c>
      <c r="D10" s="718">
        <f ca="1">tertiair!C16</f>
        <v>0</v>
      </c>
      <c r="E10" s="718">
        <f ca="1">tertiair!D16</f>
        <v>12012.476874002581</v>
      </c>
      <c r="F10" s="718">
        <f>tertiair!E16</f>
        <v>146.23729591961958</v>
      </c>
      <c r="G10" s="718">
        <f ca="1">tertiair!F16</f>
        <v>1479.4149386303629</v>
      </c>
      <c r="H10" s="718">
        <f>tertiair!G16</f>
        <v>0</v>
      </c>
      <c r="I10" s="718">
        <f>tertiair!H16</f>
        <v>0</v>
      </c>
      <c r="J10" s="718">
        <f>tertiair!I16</f>
        <v>0</v>
      </c>
      <c r="K10" s="718">
        <f>tertiair!J16</f>
        <v>2.6024203889890348E-2</v>
      </c>
      <c r="L10" s="718">
        <f>tertiair!K16</f>
        <v>0</v>
      </c>
      <c r="M10" s="718">
        <f ca="1">tertiair!L16</f>
        <v>0</v>
      </c>
      <c r="N10" s="718">
        <f>tertiair!M16</f>
        <v>0</v>
      </c>
      <c r="O10" s="718">
        <f ca="1">tertiair!N16</f>
        <v>1030.1441838861185</v>
      </c>
      <c r="P10" s="718">
        <f>tertiair!O16</f>
        <v>7.8166666666666664</v>
      </c>
      <c r="Q10" s="719">
        <f>tertiair!P16</f>
        <v>38.133333333333333</v>
      </c>
      <c r="R10" s="721">
        <f ca="1">SUM(C10:Q10)</f>
        <v>23675.196188291509</v>
      </c>
      <c r="S10" s="67"/>
    </row>
    <row r="11" spans="1:19" s="474" customFormat="1">
      <c r="A11" s="870" t="s">
        <v>225</v>
      </c>
      <c r="B11" s="875"/>
      <c r="C11" s="718">
        <f>huishoudens!B8</f>
        <v>19705.752956428492</v>
      </c>
      <c r="D11" s="718">
        <f>huishoudens!C8</f>
        <v>0</v>
      </c>
      <c r="E11" s="718">
        <f>huishoudens!D8</f>
        <v>45964.516204350046</v>
      </c>
      <c r="F11" s="718">
        <f>huishoudens!E8</f>
        <v>1995.918395729085</v>
      </c>
      <c r="G11" s="718">
        <f>huishoudens!F8</f>
        <v>16682.411911778563</v>
      </c>
      <c r="H11" s="718">
        <f>huishoudens!G8</f>
        <v>0</v>
      </c>
      <c r="I11" s="718">
        <f>huishoudens!H8</f>
        <v>0</v>
      </c>
      <c r="J11" s="718">
        <f>huishoudens!I8</f>
        <v>0</v>
      </c>
      <c r="K11" s="718">
        <f>huishoudens!J8</f>
        <v>0</v>
      </c>
      <c r="L11" s="718">
        <f>huishoudens!K8</f>
        <v>0</v>
      </c>
      <c r="M11" s="718">
        <f>huishoudens!L8</f>
        <v>0</v>
      </c>
      <c r="N11" s="718">
        <f>huishoudens!M8</f>
        <v>0</v>
      </c>
      <c r="O11" s="718">
        <f>huishoudens!N8</f>
        <v>28215.627132976275</v>
      </c>
      <c r="P11" s="718">
        <f>huishoudens!O8</f>
        <v>322.04666666666668</v>
      </c>
      <c r="Q11" s="719">
        <f>huishoudens!P8</f>
        <v>1391.8666666666668</v>
      </c>
      <c r="R11" s="721">
        <f>SUM(C11:Q11)</f>
        <v>114278.13993459579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2844.9016622076815</v>
      </c>
      <c r="D13" s="718">
        <f>industrie!C18</f>
        <v>0</v>
      </c>
      <c r="E13" s="718">
        <f>industrie!D18</f>
        <v>2072.1790739185162</v>
      </c>
      <c r="F13" s="718">
        <f>industrie!E18</f>
        <v>361.03822544627178</v>
      </c>
      <c r="G13" s="718">
        <f>industrie!F18</f>
        <v>1085.8010004058642</v>
      </c>
      <c r="H13" s="718">
        <f>industrie!G18</f>
        <v>0</v>
      </c>
      <c r="I13" s="718">
        <f>industrie!H18</f>
        <v>0</v>
      </c>
      <c r="J13" s="718">
        <f>industrie!I18</f>
        <v>0</v>
      </c>
      <c r="K13" s="718">
        <f>industrie!J18</f>
        <v>4.7717245301236302</v>
      </c>
      <c r="L13" s="718">
        <f>industrie!K18</f>
        <v>0</v>
      </c>
      <c r="M13" s="718">
        <f>industrie!L18</f>
        <v>0</v>
      </c>
      <c r="N13" s="718">
        <f>industrie!M18</f>
        <v>0</v>
      </c>
      <c r="O13" s="718">
        <f>industrie!N18</f>
        <v>655.00681143480631</v>
      </c>
      <c r="P13" s="718">
        <f>industrie!O18</f>
        <v>0</v>
      </c>
      <c r="Q13" s="719">
        <f>industrie!P18</f>
        <v>0</v>
      </c>
      <c r="R13" s="721">
        <f>SUM(C13:Q13)</f>
        <v>7023.6984979432636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31511.601490285117</v>
      </c>
      <c r="D15" s="723">
        <f t="shared" ref="D15:Q15" ca="1" si="0">SUM(D9:D14)</f>
        <v>0</v>
      </c>
      <c r="E15" s="723">
        <f t="shared" ca="1" si="0"/>
        <v>60049.172152271145</v>
      </c>
      <c r="F15" s="723">
        <f t="shared" si="0"/>
        <v>2503.1939170949763</v>
      </c>
      <c r="G15" s="723">
        <f t="shared" ca="1" si="0"/>
        <v>19247.627850814788</v>
      </c>
      <c r="H15" s="723">
        <f t="shared" si="0"/>
        <v>0</v>
      </c>
      <c r="I15" s="723">
        <f t="shared" si="0"/>
        <v>0</v>
      </c>
      <c r="J15" s="723">
        <f t="shared" si="0"/>
        <v>0</v>
      </c>
      <c r="K15" s="723">
        <f t="shared" si="0"/>
        <v>4.7977487340135205</v>
      </c>
      <c r="L15" s="723">
        <f t="shared" si="0"/>
        <v>0</v>
      </c>
      <c r="M15" s="723">
        <f t="shared" ca="1" si="0"/>
        <v>0</v>
      </c>
      <c r="N15" s="723">
        <f t="shared" si="0"/>
        <v>0</v>
      </c>
      <c r="O15" s="723">
        <f t="shared" ca="1" si="0"/>
        <v>29900.778128297199</v>
      </c>
      <c r="P15" s="723">
        <f t="shared" si="0"/>
        <v>329.86333333333334</v>
      </c>
      <c r="Q15" s="724">
        <f t="shared" si="0"/>
        <v>1430.0000000000002</v>
      </c>
      <c r="R15" s="725">
        <f ca="1">SUM(R9:R14)</f>
        <v>144977.03462083056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636.86581032369361</v>
      </c>
      <c r="I18" s="718">
        <f>transport!H54</f>
        <v>0</v>
      </c>
      <c r="J18" s="718">
        <f>transport!I54</f>
        <v>0</v>
      </c>
      <c r="K18" s="718">
        <f>transport!J54</f>
        <v>0</v>
      </c>
      <c r="L18" s="718">
        <f>transport!K54</f>
        <v>0</v>
      </c>
      <c r="M18" s="718">
        <f>transport!L54</f>
        <v>0</v>
      </c>
      <c r="N18" s="718">
        <f>transport!M54</f>
        <v>36.171166533619399</v>
      </c>
      <c r="O18" s="718">
        <f>transport!N54</f>
        <v>0</v>
      </c>
      <c r="P18" s="718">
        <f>transport!O54</f>
        <v>0</v>
      </c>
      <c r="Q18" s="719">
        <f>transport!P54</f>
        <v>0</v>
      </c>
      <c r="R18" s="721">
        <f>SUM(C18:Q18)</f>
        <v>673.03697685731299</v>
      </c>
      <c r="S18" s="67"/>
    </row>
    <row r="19" spans="1:19" s="474" customFormat="1" ht="15" thickBot="1">
      <c r="A19" s="870" t="s">
        <v>307</v>
      </c>
      <c r="B19" s="875"/>
      <c r="C19" s="727">
        <f>transport!B14</f>
        <v>47.418825508232793</v>
      </c>
      <c r="D19" s="727">
        <f>transport!C14</f>
        <v>0</v>
      </c>
      <c r="E19" s="727">
        <f>transport!D14</f>
        <v>157.12942975566372</v>
      </c>
      <c r="F19" s="727">
        <f>transport!E14</f>
        <v>222.73529543308138</v>
      </c>
      <c r="G19" s="727">
        <f>transport!F14</f>
        <v>0</v>
      </c>
      <c r="H19" s="727">
        <f>transport!G14</f>
        <v>98865.18565367462</v>
      </c>
      <c r="I19" s="727">
        <f>transport!H14</f>
        <v>17941.896851382618</v>
      </c>
      <c r="J19" s="727">
        <f>transport!I14</f>
        <v>0</v>
      </c>
      <c r="K19" s="727">
        <f>transport!J14</f>
        <v>0</v>
      </c>
      <c r="L19" s="727">
        <f>transport!K14</f>
        <v>0</v>
      </c>
      <c r="M19" s="727">
        <f>transport!L14</f>
        <v>0</v>
      </c>
      <c r="N19" s="727">
        <f>transport!M14</f>
        <v>6308.7988732463537</v>
      </c>
      <c r="O19" s="727">
        <f>transport!N14</f>
        <v>0</v>
      </c>
      <c r="P19" s="727">
        <f>transport!O14</f>
        <v>0</v>
      </c>
      <c r="Q19" s="728">
        <f>transport!P14</f>
        <v>0</v>
      </c>
      <c r="R19" s="729">
        <f>SUM(C19:Q19)</f>
        <v>123543.16492900057</v>
      </c>
      <c r="S19" s="67"/>
    </row>
    <row r="20" spans="1:19" s="474" customFormat="1" ht="15.75" thickBot="1">
      <c r="A20" s="730" t="s">
        <v>230</v>
      </c>
      <c r="B20" s="878"/>
      <c r="C20" s="873">
        <f>SUM(C17:C19)</f>
        <v>47.418825508232793</v>
      </c>
      <c r="D20" s="731">
        <f t="shared" ref="D20:R20" si="1">SUM(D17:D19)</f>
        <v>0</v>
      </c>
      <c r="E20" s="731">
        <f t="shared" si="1"/>
        <v>157.12942975566372</v>
      </c>
      <c r="F20" s="731">
        <f t="shared" si="1"/>
        <v>222.73529543308138</v>
      </c>
      <c r="G20" s="731">
        <f t="shared" si="1"/>
        <v>0</v>
      </c>
      <c r="H20" s="731">
        <f t="shared" si="1"/>
        <v>99502.051463998316</v>
      </c>
      <c r="I20" s="731">
        <f t="shared" si="1"/>
        <v>17941.896851382618</v>
      </c>
      <c r="J20" s="731">
        <f t="shared" si="1"/>
        <v>0</v>
      </c>
      <c r="K20" s="731">
        <f t="shared" si="1"/>
        <v>0</v>
      </c>
      <c r="L20" s="731">
        <f t="shared" si="1"/>
        <v>0</v>
      </c>
      <c r="M20" s="731">
        <f t="shared" si="1"/>
        <v>0</v>
      </c>
      <c r="N20" s="731">
        <f t="shared" si="1"/>
        <v>6344.9700397799734</v>
      </c>
      <c r="O20" s="731">
        <f t="shared" si="1"/>
        <v>0</v>
      </c>
      <c r="P20" s="731">
        <f t="shared" si="1"/>
        <v>0</v>
      </c>
      <c r="Q20" s="732">
        <f t="shared" si="1"/>
        <v>0</v>
      </c>
      <c r="R20" s="733">
        <f t="shared" si="1"/>
        <v>124216.20190585789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1905.3730886850401</v>
      </c>
      <c r="D22" s="727">
        <f>+landbouw!C8</f>
        <v>0</v>
      </c>
      <c r="E22" s="727">
        <f>+landbouw!D8</f>
        <v>1338.3987056990377</v>
      </c>
      <c r="F22" s="727">
        <f>+landbouw!E8</f>
        <v>56.00473475758249</v>
      </c>
      <c r="G22" s="727">
        <f>+landbouw!F8</f>
        <v>7937.6813265043447</v>
      </c>
      <c r="H22" s="727">
        <f>+landbouw!G8</f>
        <v>0</v>
      </c>
      <c r="I22" s="727">
        <f>+landbouw!H8</f>
        <v>0</v>
      </c>
      <c r="J22" s="727">
        <f>+landbouw!I8</f>
        <v>0</v>
      </c>
      <c r="K22" s="727">
        <f>+landbouw!J8</f>
        <v>276.04764219499503</v>
      </c>
      <c r="L22" s="727">
        <f>+landbouw!K8</f>
        <v>0</v>
      </c>
      <c r="M22" s="727">
        <f>+landbouw!L8</f>
        <v>0</v>
      </c>
      <c r="N22" s="727">
        <f>+landbouw!M8</f>
        <v>0</v>
      </c>
      <c r="O22" s="727">
        <f>+landbouw!N8</f>
        <v>0</v>
      </c>
      <c r="P22" s="727">
        <f>+landbouw!O8</f>
        <v>0</v>
      </c>
      <c r="Q22" s="728">
        <f>+landbouw!P8</f>
        <v>0</v>
      </c>
      <c r="R22" s="729">
        <f>SUM(C22:Q22)</f>
        <v>11513.505497841001</v>
      </c>
      <c r="S22" s="67"/>
    </row>
    <row r="23" spans="1:19" s="474" customFormat="1" ht="17.25" thickTop="1" thickBot="1">
      <c r="A23" s="734" t="s">
        <v>116</v>
      </c>
      <c r="B23" s="864"/>
      <c r="C23" s="735">
        <f ca="1">C20+C15+C22</f>
        <v>33464.393404478389</v>
      </c>
      <c r="D23" s="735">
        <f t="shared" ref="D23:Q23" ca="1" si="2">D20+D15+D22</f>
        <v>0</v>
      </c>
      <c r="E23" s="735">
        <f t="shared" ca="1" si="2"/>
        <v>61544.700287725849</v>
      </c>
      <c r="F23" s="735">
        <f t="shared" si="2"/>
        <v>2781.93394728564</v>
      </c>
      <c r="G23" s="735">
        <f t="shared" ca="1" si="2"/>
        <v>27185.309177319134</v>
      </c>
      <c r="H23" s="735">
        <f t="shared" si="2"/>
        <v>99502.051463998316</v>
      </c>
      <c r="I23" s="735">
        <f t="shared" si="2"/>
        <v>17941.896851382618</v>
      </c>
      <c r="J23" s="735">
        <f t="shared" si="2"/>
        <v>0</v>
      </c>
      <c r="K23" s="735">
        <f t="shared" si="2"/>
        <v>280.84539092900854</v>
      </c>
      <c r="L23" s="735">
        <f t="shared" si="2"/>
        <v>0</v>
      </c>
      <c r="M23" s="735">
        <f t="shared" ca="1" si="2"/>
        <v>0</v>
      </c>
      <c r="N23" s="735">
        <f t="shared" si="2"/>
        <v>6344.9700397799734</v>
      </c>
      <c r="O23" s="735">
        <f t="shared" ca="1" si="2"/>
        <v>29900.778128297199</v>
      </c>
      <c r="P23" s="735">
        <f t="shared" si="2"/>
        <v>329.86333333333334</v>
      </c>
      <c r="Q23" s="736">
        <f t="shared" si="2"/>
        <v>1430.0000000000002</v>
      </c>
      <c r="R23" s="737">
        <f ca="1">R20+R15+R22</f>
        <v>280706.74202452943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1688.9296693643241</v>
      </c>
      <c r="D36" s="718">
        <f ca="1">tertiair!C20</f>
        <v>0</v>
      </c>
      <c r="E36" s="718">
        <f ca="1">tertiair!D20</f>
        <v>2426.5203285485213</v>
      </c>
      <c r="F36" s="718">
        <f>tertiair!E20</f>
        <v>33.195866173753643</v>
      </c>
      <c r="G36" s="718">
        <f ca="1">tertiair!F20</f>
        <v>395.00378861430693</v>
      </c>
      <c r="H36" s="718">
        <f>tertiair!G20</f>
        <v>0</v>
      </c>
      <c r="I36" s="718">
        <f>tertiair!H20</f>
        <v>0</v>
      </c>
      <c r="J36" s="718">
        <f>tertiair!I20</f>
        <v>0</v>
      </c>
      <c r="K36" s="718">
        <f>tertiair!J20</f>
        <v>9.2125681770211833E-3</v>
      </c>
      <c r="L36" s="718">
        <f>tertiair!K20</f>
        <v>0</v>
      </c>
      <c r="M36" s="718">
        <f ca="1">tertiair!L20</f>
        <v>0</v>
      </c>
      <c r="N36" s="718">
        <f>tertiair!M20</f>
        <v>0</v>
      </c>
      <c r="O36" s="718">
        <f ca="1">tertiair!N20</f>
        <v>0</v>
      </c>
      <c r="P36" s="718">
        <f>tertiair!O20</f>
        <v>0</v>
      </c>
      <c r="Q36" s="828">
        <f>tertiair!P20</f>
        <v>0</v>
      </c>
      <c r="R36" s="917">
        <f ca="1">SUM(C36:Q36)</f>
        <v>4543.6588652690825</v>
      </c>
    </row>
    <row r="37" spans="1:18">
      <c r="A37" s="885" t="s">
        <v>225</v>
      </c>
      <c r="B37" s="892"/>
      <c r="C37" s="718">
        <f ca="1">huishoudens!B12</f>
        <v>3714.0752313322814</v>
      </c>
      <c r="D37" s="718">
        <f ca="1">huishoudens!C12</f>
        <v>0</v>
      </c>
      <c r="E37" s="718">
        <f>huishoudens!D12</f>
        <v>9284.8322732787092</v>
      </c>
      <c r="F37" s="718">
        <f>huishoudens!E12</f>
        <v>453.07347583050233</v>
      </c>
      <c r="G37" s="718">
        <f>huishoudens!F12</f>
        <v>4454.2039804448768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17906.18496088637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536.19766890128619</v>
      </c>
      <c r="D39" s="718">
        <f ca="1">industrie!C22</f>
        <v>0</v>
      </c>
      <c r="E39" s="718">
        <f>industrie!D22</f>
        <v>418.58017293154029</v>
      </c>
      <c r="F39" s="718">
        <f>industrie!E22</f>
        <v>81.955677176303695</v>
      </c>
      <c r="G39" s="718">
        <f>industrie!F22</f>
        <v>289.90886710836577</v>
      </c>
      <c r="H39" s="718">
        <f>industrie!G22</f>
        <v>0</v>
      </c>
      <c r="I39" s="718">
        <f>industrie!H22</f>
        <v>0</v>
      </c>
      <c r="J39" s="718">
        <f>industrie!I22</f>
        <v>0</v>
      </c>
      <c r="K39" s="718">
        <f>industrie!J22</f>
        <v>1.689190483663765</v>
      </c>
      <c r="L39" s="718">
        <f>industrie!K22</f>
        <v>0</v>
      </c>
      <c r="M39" s="718">
        <f>industrie!L22</f>
        <v>0</v>
      </c>
      <c r="N39" s="718">
        <f>industrie!M22</f>
        <v>0</v>
      </c>
      <c r="O39" s="718">
        <f>industrie!N22</f>
        <v>0</v>
      </c>
      <c r="P39" s="718">
        <f>industrie!O22</f>
        <v>0</v>
      </c>
      <c r="Q39" s="828">
        <f>industrie!P22</f>
        <v>0</v>
      </c>
      <c r="R39" s="918">
        <f ca="1">SUM(C39:Q39)</f>
        <v>1328.3315766011597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5939.2025695978919</v>
      </c>
      <c r="D41" s="763">
        <f t="shared" ref="D41:R41" ca="1" si="4">SUM(D35:D40)</f>
        <v>0</v>
      </c>
      <c r="E41" s="763">
        <f t="shared" ca="1" si="4"/>
        <v>12129.932774758772</v>
      </c>
      <c r="F41" s="763">
        <f t="shared" si="4"/>
        <v>568.22501918055968</v>
      </c>
      <c r="G41" s="763">
        <f t="shared" ca="1" si="4"/>
        <v>5139.1166361675496</v>
      </c>
      <c r="H41" s="763">
        <f t="shared" si="4"/>
        <v>0</v>
      </c>
      <c r="I41" s="763">
        <f t="shared" si="4"/>
        <v>0</v>
      </c>
      <c r="J41" s="763">
        <f t="shared" si="4"/>
        <v>0</v>
      </c>
      <c r="K41" s="763">
        <f t="shared" si="4"/>
        <v>1.6984030518407862</v>
      </c>
      <c r="L41" s="763">
        <f t="shared" si="4"/>
        <v>0</v>
      </c>
      <c r="M41" s="763">
        <f t="shared" ca="1" si="4"/>
        <v>0</v>
      </c>
      <c r="N41" s="763">
        <f t="shared" si="4"/>
        <v>0</v>
      </c>
      <c r="O41" s="763">
        <f t="shared" ca="1" si="4"/>
        <v>0</v>
      </c>
      <c r="P41" s="763">
        <f t="shared" si="4"/>
        <v>0</v>
      </c>
      <c r="Q41" s="764">
        <f t="shared" si="4"/>
        <v>0</v>
      </c>
      <c r="R41" s="765">
        <f t="shared" ca="1" si="4"/>
        <v>23778.175402756613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170.0431713564262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170.0431713564262</v>
      </c>
    </row>
    <row r="45" spans="1:18" ht="15" thickBot="1">
      <c r="A45" s="888" t="s">
        <v>307</v>
      </c>
      <c r="B45" s="898"/>
      <c r="C45" s="727">
        <f ca="1">transport!B18</f>
        <v>8.9373436127210333</v>
      </c>
      <c r="D45" s="727">
        <f>transport!C18</f>
        <v>0</v>
      </c>
      <c r="E45" s="727">
        <f>transport!D18</f>
        <v>31.740144810644075</v>
      </c>
      <c r="F45" s="727">
        <f>transport!E18</f>
        <v>50.560912063309473</v>
      </c>
      <c r="G45" s="727">
        <f>transport!F18</f>
        <v>0</v>
      </c>
      <c r="H45" s="727">
        <f>transport!G18</f>
        <v>26397.004569531124</v>
      </c>
      <c r="I45" s="727">
        <f>transport!H18</f>
        <v>4467.5323159942718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30955.775286012071</v>
      </c>
    </row>
    <row r="46" spans="1:18" ht="15.75" thickBot="1">
      <c r="A46" s="886" t="s">
        <v>230</v>
      </c>
      <c r="B46" s="899"/>
      <c r="C46" s="763">
        <f t="shared" ref="C46:R46" ca="1" si="5">SUM(C43:C45)</f>
        <v>8.9373436127210333</v>
      </c>
      <c r="D46" s="763">
        <f t="shared" ca="1" si="5"/>
        <v>0</v>
      </c>
      <c r="E46" s="763">
        <f t="shared" si="5"/>
        <v>31.740144810644075</v>
      </c>
      <c r="F46" s="763">
        <f t="shared" si="5"/>
        <v>50.560912063309473</v>
      </c>
      <c r="G46" s="763">
        <f t="shared" si="5"/>
        <v>0</v>
      </c>
      <c r="H46" s="763">
        <f t="shared" si="5"/>
        <v>26567.047740887549</v>
      </c>
      <c r="I46" s="763">
        <f t="shared" si="5"/>
        <v>4467.5323159942718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31125.818457368496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359.11842652140848</v>
      </c>
      <c r="D48" s="718">
        <f ca="1">+landbouw!C12</f>
        <v>0</v>
      </c>
      <c r="E48" s="718">
        <f>+landbouw!D12</f>
        <v>270.35653855120563</v>
      </c>
      <c r="F48" s="718">
        <f>+landbouw!E12</f>
        <v>12.713074789971225</v>
      </c>
      <c r="G48" s="718">
        <f>+landbouw!F12</f>
        <v>2119.3609141766601</v>
      </c>
      <c r="H48" s="718">
        <f>+landbouw!G12</f>
        <v>0</v>
      </c>
      <c r="I48" s="718">
        <f>+landbouw!H12</f>
        <v>0</v>
      </c>
      <c r="J48" s="718">
        <f>+landbouw!I12</f>
        <v>0</v>
      </c>
      <c r="K48" s="718">
        <f>+landbouw!J12</f>
        <v>97.720865337028243</v>
      </c>
      <c r="L48" s="718">
        <f>+landbouw!K12</f>
        <v>0</v>
      </c>
      <c r="M48" s="718">
        <f>+landbouw!L12</f>
        <v>0</v>
      </c>
      <c r="N48" s="718">
        <f>+landbouw!M12</f>
        <v>0</v>
      </c>
      <c r="O48" s="718">
        <f>+landbouw!N12</f>
        <v>0</v>
      </c>
      <c r="P48" s="718">
        <f>+landbouw!O12</f>
        <v>0</v>
      </c>
      <c r="Q48" s="719">
        <f>+landbouw!P12</f>
        <v>0</v>
      </c>
      <c r="R48" s="761">
        <f ca="1">SUM(C48:Q48)</f>
        <v>2859.2698193762735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6307.2583397320213</v>
      </c>
      <c r="D53" s="773">
        <f t="shared" ref="D53:Q53" ca="1" si="6">D41+D46+D48</f>
        <v>0</v>
      </c>
      <c r="E53" s="773">
        <f t="shared" ca="1" si="6"/>
        <v>12432.029458120622</v>
      </c>
      <c r="F53" s="773">
        <f t="shared" si="6"/>
        <v>631.49900603384037</v>
      </c>
      <c r="G53" s="773">
        <f t="shared" ca="1" si="6"/>
        <v>7258.4775503442097</v>
      </c>
      <c r="H53" s="773">
        <f t="shared" si="6"/>
        <v>26567.047740887549</v>
      </c>
      <c r="I53" s="773">
        <f t="shared" si="6"/>
        <v>4467.5323159942718</v>
      </c>
      <c r="J53" s="773">
        <f t="shared" si="6"/>
        <v>0</v>
      </c>
      <c r="K53" s="773">
        <f t="shared" si="6"/>
        <v>99.419268388869028</v>
      </c>
      <c r="L53" s="773">
        <f t="shared" si="6"/>
        <v>0</v>
      </c>
      <c r="M53" s="773">
        <f t="shared" ca="1" si="6"/>
        <v>0</v>
      </c>
      <c r="N53" s="773">
        <f t="shared" si="6"/>
        <v>0</v>
      </c>
      <c r="O53" s="773">
        <f t="shared" ca="1" si="6"/>
        <v>0</v>
      </c>
      <c r="P53" s="773">
        <f>P41+P46+P48</f>
        <v>0</v>
      </c>
      <c r="Q53" s="774">
        <f t="shared" si="6"/>
        <v>0</v>
      </c>
      <c r="R53" s="775">
        <f ca="1">R41+R46+R48</f>
        <v>57763.263679501382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0.1884766971119802</v>
      </c>
      <c r="D55" s="836">
        <f t="shared" ca="1" si="7"/>
        <v>0</v>
      </c>
      <c r="E55" s="836">
        <f t="shared" ca="1" si="7"/>
        <v>0.20200000000000001</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4924.7629079534063</v>
      </c>
      <c r="C66" s="795">
        <f>'lokale energieproductie'!B6</f>
        <v>4924.7629079534063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4924.7629079534063</v>
      </c>
      <c r="C69" s="803">
        <f>SUM(C64:C68)</f>
        <v>4924.7629079534063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19705.752956428492</v>
      </c>
      <c r="C4" s="478">
        <f>huishoudens!C8</f>
        <v>0</v>
      </c>
      <c r="D4" s="478">
        <f>huishoudens!D8</f>
        <v>45964.516204350046</v>
      </c>
      <c r="E4" s="478">
        <f>huishoudens!E8</f>
        <v>1995.918395729085</v>
      </c>
      <c r="F4" s="478">
        <f>huishoudens!F8</f>
        <v>16682.411911778563</v>
      </c>
      <c r="G4" s="478">
        <f>huishoudens!G8</f>
        <v>0</v>
      </c>
      <c r="H4" s="478">
        <f>huishoudens!H8</f>
        <v>0</v>
      </c>
      <c r="I4" s="478">
        <f>huishoudens!I8</f>
        <v>0</v>
      </c>
      <c r="J4" s="478">
        <f>huishoudens!J8</f>
        <v>0</v>
      </c>
      <c r="K4" s="478">
        <f>huishoudens!K8</f>
        <v>0</v>
      </c>
      <c r="L4" s="478">
        <f>huishoudens!L8</f>
        <v>0</v>
      </c>
      <c r="M4" s="478">
        <f>huishoudens!M8</f>
        <v>0</v>
      </c>
      <c r="N4" s="478">
        <f>huishoudens!N8</f>
        <v>28215.627132976275</v>
      </c>
      <c r="O4" s="478">
        <f>huishoudens!O8</f>
        <v>322.04666666666668</v>
      </c>
      <c r="P4" s="479">
        <f>huishoudens!P8</f>
        <v>1391.8666666666668</v>
      </c>
      <c r="Q4" s="480">
        <f>SUM(B4:P4)</f>
        <v>114278.13993459579</v>
      </c>
    </row>
    <row r="5" spans="1:17">
      <c r="A5" s="477" t="s">
        <v>156</v>
      </c>
      <c r="B5" s="478">
        <f ca="1">tertiair!B16</f>
        <v>8409.9568716489412</v>
      </c>
      <c r="C5" s="478">
        <f ca="1">tertiair!C16</f>
        <v>0</v>
      </c>
      <c r="D5" s="478">
        <f ca="1">tertiair!D16</f>
        <v>12012.476874002581</v>
      </c>
      <c r="E5" s="478">
        <f>tertiair!E16</f>
        <v>146.23729591961958</v>
      </c>
      <c r="F5" s="478">
        <f ca="1">tertiair!F16</f>
        <v>1479.4149386303629</v>
      </c>
      <c r="G5" s="478">
        <f>tertiair!G16</f>
        <v>0</v>
      </c>
      <c r="H5" s="478">
        <f>tertiair!H16</f>
        <v>0</v>
      </c>
      <c r="I5" s="478">
        <f>tertiair!I16</f>
        <v>0</v>
      </c>
      <c r="J5" s="478">
        <f>tertiair!J16</f>
        <v>2.6024203889890348E-2</v>
      </c>
      <c r="K5" s="478">
        <f>tertiair!K16</f>
        <v>0</v>
      </c>
      <c r="L5" s="478">
        <f ca="1">tertiair!L16</f>
        <v>0</v>
      </c>
      <c r="M5" s="478">
        <f>tertiair!M16</f>
        <v>0</v>
      </c>
      <c r="N5" s="478">
        <f ca="1">tertiair!N16</f>
        <v>1030.1441838861185</v>
      </c>
      <c r="O5" s="478">
        <f>tertiair!O16</f>
        <v>7.8166666666666664</v>
      </c>
      <c r="P5" s="479">
        <f>tertiair!P16</f>
        <v>38.133333333333333</v>
      </c>
      <c r="Q5" s="477">
        <f t="shared" ref="Q5:Q13" ca="1" si="0">SUM(B5:P5)</f>
        <v>23124.206188291508</v>
      </c>
    </row>
    <row r="6" spans="1:17">
      <c r="A6" s="477" t="s">
        <v>194</v>
      </c>
      <c r="B6" s="478">
        <f>'openbare verlichting'!B8</f>
        <v>550.99</v>
      </c>
      <c r="C6" s="478"/>
      <c r="D6" s="478"/>
      <c r="E6" s="478"/>
      <c r="F6" s="478"/>
      <c r="G6" s="478"/>
      <c r="H6" s="478"/>
      <c r="I6" s="478"/>
      <c r="J6" s="478"/>
      <c r="K6" s="478"/>
      <c r="L6" s="478"/>
      <c r="M6" s="478"/>
      <c r="N6" s="478"/>
      <c r="O6" s="478"/>
      <c r="P6" s="479"/>
      <c r="Q6" s="477">
        <f t="shared" si="0"/>
        <v>550.99</v>
      </c>
    </row>
    <row r="7" spans="1:17">
      <c r="A7" s="477" t="s">
        <v>112</v>
      </c>
      <c r="B7" s="478">
        <f>landbouw!B8</f>
        <v>1905.3730886850401</v>
      </c>
      <c r="C7" s="478">
        <f>landbouw!C8</f>
        <v>0</v>
      </c>
      <c r="D7" s="478">
        <f>landbouw!D8</f>
        <v>1338.3987056990377</v>
      </c>
      <c r="E7" s="478">
        <f>landbouw!E8</f>
        <v>56.00473475758249</v>
      </c>
      <c r="F7" s="478">
        <f>landbouw!F8</f>
        <v>7937.6813265043447</v>
      </c>
      <c r="G7" s="478">
        <f>landbouw!G8</f>
        <v>0</v>
      </c>
      <c r="H7" s="478">
        <f>landbouw!H8</f>
        <v>0</v>
      </c>
      <c r="I7" s="478">
        <f>landbouw!I8</f>
        <v>0</v>
      </c>
      <c r="J7" s="478">
        <f>landbouw!J8</f>
        <v>276.04764219499503</v>
      </c>
      <c r="K7" s="478">
        <f>landbouw!K8</f>
        <v>0</v>
      </c>
      <c r="L7" s="478">
        <f>landbouw!L8</f>
        <v>0</v>
      </c>
      <c r="M7" s="478">
        <f>landbouw!M8</f>
        <v>0</v>
      </c>
      <c r="N7" s="478">
        <f>landbouw!N8</f>
        <v>0</v>
      </c>
      <c r="O7" s="478">
        <f>landbouw!O8</f>
        <v>0</v>
      </c>
      <c r="P7" s="479">
        <f>landbouw!P8</f>
        <v>0</v>
      </c>
      <c r="Q7" s="477">
        <f t="shared" si="0"/>
        <v>11513.505497841001</v>
      </c>
    </row>
    <row r="8" spans="1:17">
      <c r="A8" s="477" t="s">
        <v>635</v>
      </c>
      <c r="B8" s="478">
        <f>industrie!B18</f>
        <v>2844.9016622076815</v>
      </c>
      <c r="C8" s="478">
        <f>industrie!C18</f>
        <v>0</v>
      </c>
      <c r="D8" s="478">
        <f>industrie!D18</f>
        <v>2072.1790739185162</v>
      </c>
      <c r="E8" s="478">
        <f>industrie!E18</f>
        <v>361.03822544627178</v>
      </c>
      <c r="F8" s="478">
        <f>industrie!F18</f>
        <v>1085.8010004058642</v>
      </c>
      <c r="G8" s="478">
        <f>industrie!G18</f>
        <v>0</v>
      </c>
      <c r="H8" s="478">
        <f>industrie!H18</f>
        <v>0</v>
      </c>
      <c r="I8" s="478">
        <f>industrie!I18</f>
        <v>0</v>
      </c>
      <c r="J8" s="478">
        <f>industrie!J18</f>
        <v>4.7717245301236302</v>
      </c>
      <c r="K8" s="478">
        <f>industrie!K18</f>
        <v>0</v>
      </c>
      <c r="L8" s="478">
        <f>industrie!L18</f>
        <v>0</v>
      </c>
      <c r="M8" s="478">
        <f>industrie!M18</f>
        <v>0</v>
      </c>
      <c r="N8" s="478">
        <f>industrie!N18</f>
        <v>655.00681143480631</v>
      </c>
      <c r="O8" s="478">
        <f>industrie!O18</f>
        <v>0</v>
      </c>
      <c r="P8" s="479">
        <f>industrie!P18</f>
        <v>0</v>
      </c>
      <c r="Q8" s="477">
        <f t="shared" si="0"/>
        <v>7023.6984979432636</v>
      </c>
    </row>
    <row r="9" spans="1:17" s="483" customFormat="1">
      <c r="A9" s="481" t="s">
        <v>561</v>
      </c>
      <c r="B9" s="482">
        <f>transport!B14</f>
        <v>47.418825508232793</v>
      </c>
      <c r="C9" s="482"/>
      <c r="D9" s="482">
        <f>transport!D14</f>
        <v>157.12942975566372</v>
      </c>
      <c r="E9" s="482">
        <f>transport!E14</f>
        <v>222.73529543308138</v>
      </c>
      <c r="F9" s="482"/>
      <c r="G9" s="482">
        <f>transport!G14</f>
        <v>98865.18565367462</v>
      </c>
      <c r="H9" s="482">
        <f>transport!H14</f>
        <v>17941.896851382618</v>
      </c>
      <c r="I9" s="482"/>
      <c r="J9" s="482"/>
      <c r="K9" s="482"/>
      <c r="L9" s="482"/>
      <c r="M9" s="482">
        <f>transport!M14</f>
        <v>6308.7988732463537</v>
      </c>
      <c r="N9" s="482"/>
      <c r="O9" s="482"/>
      <c r="P9" s="482"/>
      <c r="Q9" s="481">
        <f>SUM(B9:P9)</f>
        <v>123543.16492900057</v>
      </c>
    </row>
    <row r="10" spans="1:17">
      <c r="A10" s="477" t="s">
        <v>551</v>
      </c>
      <c r="B10" s="478">
        <f>transport!B54</f>
        <v>0</v>
      </c>
      <c r="C10" s="478"/>
      <c r="D10" s="478">
        <f>transport!D54</f>
        <v>0</v>
      </c>
      <c r="E10" s="478"/>
      <c r="F10" s="478"/>
      <c r="G10" s="478">
        <f>transport!G54</f>
        <v>636.86581032369361</v>
      </c>
      <c r="H10" s="478"/>
      <c r="I10" s="478"/>
      <c r="J10" s="478"/>
      <c r="K10" s="478"/>
      <c r="L10" s="478"/>
      <c r="M10" s="478">
        <f>transport!M54</f>
        <v>36.171166533619399</v>
      </c>
      <c r="N10" s="478"/>
      <c r="O10" s="478"/>
      <c r="P10" s="479"/>
      <c r="Q10" s="477">
        <f t="shared" si="0"/>
        <v>673.03697685731299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33464.393404478389</v>
      </c>
      <c r="C14" s="488">
        <f t="shared" ref="C14:Q14" ca="1" si="1">SUM(C4:C13)</f>
        <v>0</v>
      </c>
      <c r="D14" s="488">
        <f t="shared" ca="1" si="1"/>
        <v>61544.700287725849</v>
      </c>
      <c r="E14" s="488">
        <f t="shared" si="1"/>
        <v>2781.9339472856404</v>
      </c>
      <c r="F14" s="488">
        <f t="shared" ca="1" si="1"/>
        <v>27185.309177319134</v>
      </c>
      <c r="G14" s="488">
        <f t="shared" si="1"/>
        <v>99502.051463998316</v>
      </c>
      <c r="H14" s="488">
        <f t="shared" si="1"/>
        <v>17941.896851382618</v>
      </c>
      <c r="I14" s="488">
        <f t="shared" si="1"/>
        <v>0</v>
      </c>
      <c r="J14" s="488">
        <f t="shared" si="1"/>
        <v>280.84539092900854</v>
      </c>
      <c r="K14" s="488">
        <f t="shared" si="1"/>
        <v>0</v>
      </c>
      <c r="L14" s="488">
        <f t="shared" ca="1" si="1"/>
        <v>0</v>
      </c>
      <c r="M14" s="488">
        <f t="shared" si="1"/>
        <v>6344.9700397799734</v>
      </c>
      <c r="N14" s="488">
        <f t="shared" ca="1" si="1"/>
        <v>29900.778128297199</v>
      </c>
      <c r="O14" s="488">
        <f t="shared" si="1"/>
        <v>329.86333333333334</v>
      </c>
      <c r="P14" s="489">
        <f t="shared" si="1"/>
        <v>1430.0000000000002</v>
      </c>
      <c r="Q14" s="489">
        <f t="shared" ca="1" si="1"/>
        <v>280706.74202452943</v>
      </c>
    </row>
    <row r="16" spans="1:17">
      <c r="A16" s="491" t="s">
        <v>556</v>
      </c>
      <c r="B16" s="841">
        <f ca="1">huishoudens!B10</f>
        <v>0.1884766971119802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3714.0752313322814</v>
      </c>
      <c r="C21" s="478">
        <f t="shared" ref="C21:C28" ca="1" si="3">C4*$C$16</f>
        <v>0</v>
      </c>
      <c r="D21" s="478">
        <f t="shared" ref="D21:D30" si="4">D4*$D$16</f>
        <v>9284.8322732787092</v>
      </c>
      <c r="E21" s="478">
        <f t="shared" ref="E21:E30" si="5">E4*$E$16</f>
        <v>453.07347583050233</v>
      </c>
      <c r="F21" s="478">
        <f t="shared" ref="F21:F28" si="6">F4*$F$16</f>
        <v>4454.2039804448768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17906.18496088637</v>
      </c>
    </row>
    <row r="22" spans="1:17">
      <c r="A22" s="477" t="s">
        <v>156</v>
      </c>
      <c r="B22" s="478">
        <f t="shared" ca="1" si="2"/>
        <v>1585.0808940225941</v>
      </c>
      <c r="C22" s="478">
        <f t="shared" ca="1" si="3"/>
        <v>0</v>
      </c>
      <c r="D22" s="478">
        <f t="shared" ca="1" si="4"/>
        <v>2426.5203285485213</v>
      </c>
      <c r="E22" s="478">
        <f t="shared" si="5"/>
        <v>33.195866173753643</v>
      </c>
      <c r="F22" s="478">
        <f t="shared" ca="1" si="6"/>
        <v>395.00378861430693</v>
      </c>
      <c r="G22" s="478">
        <f t="shared" si="7"/>
        <v>0</v>
      </c>
      <c r="H22" s="478">
        <f t="shared" si="8"/>
        <v>0</v>
      </c>
      <c r="I22" s="478">
        <f t="shared" si="9"/>
        <v>0</v>
      </c>
      <c r="J22" s="478">
        <f t="shared" si="10"/>
        <v>9.2125681770211833E-3</v>
      </c>
      <c r="K22" s="478">
        <f t="shared" si="11"/>
        <v>0</v>
      </c>
      <c r="L22" s="478">
        <f t="shared" ca="1" si="12"/>
        <v>0</v>
      </c>
      <c r="M22" s="478">
        <f t="shared" si="13"/>
        <v>0</v>
      </c>
      <c r="N22" s="478">
        <f t="shared" ca="1" si="14"/>
        <v>0</v>
      </c>
      <c r="O22" s="478">
        <f t="shared" si="15"/>
        <v>0</v>
      </c>
      <c r="P22" s="479">
        <f t="shared" si="16"/>
        <v>0</v>
      </c>
      <c r="Q22" s="477">
        <f t="shared" ref="Q22:Q30" ca="1" si="17">SUM(B22:P22)</f>
        <v>4439.8100899273531</v>
      </c>
    </row>
    <row r="23" spans="1:17">
      <c r="A23" s="477" t="s">
        <v>194</v>
      </c>
      <c r="B23" s="478">
        <f t="shared" ca="1" si="2"/>
        <v>103.84877534172998</v>
      </c>
      <c r="C23" s="478"/>
      <c r="D23" s="478"/>
      <c r="E23" s="478"/>
      <c r="F23" s="478"/>
      <c r="G23" s="478"/>
      <c r="H23" s="478"/>
      <c r="I23" s="478"/>
      <c r="J23" s="478"/>
      <c r="K23" s="478"/>
      <c r="L23" s="478"/>
      <c r="M23" s="478"/>
      <c r="N23" s="478"/>
      <c r="O23" s="478"/>
      <c r="P23" s="479"/>
      <c r="Q23" s="477">
        <f t="shared" ca="1" si="17"/>
        <v>103.84877534172998</v>
      </c>
    </row>
    <row r="24" spans="1:17">
      <c r="A24" s="477" t="s">
        <v>112</v>
      </c>
      <c r="B24" s="478">
        <f t="shared" ca="1" si="2"/>
        <v>359.11842652140848</v>
      </c>
      <c r="C24" s="478">
        <f t="shared" ca="1" si="3"/>
        <v>0</v>
      </c>
      <c r="D24" s="478">
        <f t="shared" si="4"/>
        <v>270.35653855120563</v>
      </c>
      <c r="E24" s="478">
        <f t="shared" si="5"/>
        <v>12.713074789971225</v>
      </c>
      <c r="F24" s="478">
        <f t="shared" si="6"/>
        <v>2119.3609141766601</v>
      </c>
      <c r="G24" s="478">
        <f t="shared" si="7"/>
        <v>0</v>
      </c>
      <c r="H24" s="478">
        <f t="shared" si="8"/>
        <v>0</v>
      </c>
      <c r="I24" s="478">
        <f t="shared" si="9"/>
        <v>0</v>
      </c>
      <c r="J24" s="478">
        <f t="shared" si="10"/>
        <v>97.720865337028243</v>
      </c>
      <c r="K24" s="478">
        <f t="shared" si="11"/>
        <v>0</v>
      </c>
      <c r="L24" s="478">
        <f t="shared" si="12"/>
        <v>0</v>
      </c>
      <c r="M24" s="478">
        <f t="shared" si="13"/>
        <v>0</v>
      </c>
      <c r="N24" s="478">
        <f t="shared" si="14"/>
        <v>0</v>
      </c>
      <c r="O24" s="478">
        <f t="shared" si="15"/>
        <v>0</v>
      </c>
      <c r="P24" s="479">
        <f t="shared" si="16"/>
        <v>0</v>
      </c>
      <c r="Q24" s="477">
        <f t="shared" ca="1" si="17"/>
        <v>2859.2698193762735</v>
      </c>
    </row>
    <row r="25" spans="1:17">
      <c r="A25" s="477" t="s">
        <v>635</v>
      </c>
      <c r="B25" s="478">
        <f t="shared" ca="1" si="2"/>
        <v>536.19766890128619</v>
      </c>
      <c r="C25" s="478">
        <f t="shared" ca="1" si="3"/>
        <v>0</v>
      </c>
      <c r="D25" s="478">
        <f t="shared" si="4"/>
        <v>418.58017293154029</v>
      </c>
      <c r="E25" s="478">
        <f t="shared" si="5"/>
        <v>81.955677176303695</v>
      </c>
      <c r="F25" s="478">
        <f t="shared" si="6"/>
        <v>289.90886710836577</v>
      </c>
      <c r="G25" s="478">
        <f t="shared" si="7"/>
        <v>0</v>
      </c>
      <c r="H25" s="478">
        <f t="shared" si="8"/>
        <v>0</v>
      </c>
      <c r="I25" s="478">
        <f t="shared" si="9"/>
        <v>0</v>
      </c>
      <c r="J25" s="478">
        <f t="shared" si="10"/>
        <v>1.689190483663765</v>
      </c>
      <c r="K25" s="478">
        <f t="shared" si="11"/>
        <v>0</v>
      </c>
      <c r="L25" s="478">
        <f t="shared" si="12"/>
        <v>0</v>
      </c>
      <c r="M25" s="478">
        <f t="shared" si="13"/>
        <v>0</v>
      </c>
      <c r="N25" s="478">
        <f t="shared" si="14"/>
        <v>0</v>
      </c>
      <c r="O25" s="478">
        <f t="shared" si="15"/>
        <v>0</v>
      </c>
      <c r="P25" s="479">
        <f t="shared" si="16"/>
        <v>0</v>
      </c>
      <c r="Q25" s="477">
        <f t="shared" ca="1" si="17"/>
        <v>1328.3315766011597</v>
      </c>
    </row>
    <row r="26" spans="1:17" s="483" customFormat="1">
      <c r="A26" s="481" t="s">
        <v>561</v>
      </c>
      <c r="B26" s="835">
        <f t="shared" ca="1" si="2"/>
        <v>8.9373436127210333</v>
      </c>
      <c r="C26" s="482"/>
      <c r="D26" s="482">
        <f t="shared" si="4"/>
        <v>31.740144810644075</v>
      </c>
      <c r="E26" s="482">
        <f t="shared" si="5"/>
        <v>50.560912063309473</v>
      </c>
      <c r="F26" s="482"/>
      <c r="G26" s="482">
        <f t="shared" si="7"/>
        <v>26397.004569531124</v>
      </c>
      <c r="H26" s="482">
        <f t="shared" si="8"/>
        <v>4467.5323159942718</v>
      </c>
      <c r="I26" s="482"/>
      <c r="J26" s="482"/>
      <c r="K26" s="482"/>
      <c r="L26" s="482"/>
      <c r="M26" s="482">
        <f t="shared" si="13"/>
        <v>0</v>
      </c>
      <c r="N26" s="482"/>
      <c r="O26" s="482"/>
      <c r="P26" s="493"/>
      <c r="Q26" s="481">
        <f t="shared" ca="1" si="17"/>
        <v>30955.775286012071</v>
      </c>
    </row>
    <row r="27" spans="1:17">
      <c r="A27" s="477" t="s">
        <v>551</v>
      </c>
      <c r="B27" s="478">
        <f t="shared" ca="1" si="2"/>
        <v>0</v>
      </c>
      <c r="C27" s="478"/>
      <c r="D27" s="482">
        <f t="shared" si="4"/>
        <v>0</v>
      </c>
      <c r="E27" s="478"/>
      <c r="F27" s="478"/>
      <c r="G27" s="478">
        <f t="shared" si="7"/>
        <v>170.0431713564262</v>
      </c>
      <c r="H27" s="478"/>
      <c r="I27" s="478"/>
      <c r="J27" s="478"/>
      <c r="K27" s="478"/>
      <c r="L27" s="478"/>
      <c r="M27" s="478">
        <f t="shared" si="13"/>
        <v>0</v>
      </c>
      <c r="N27" s="478"/>
      <c r="O27" s="478"/>
      <c r="P27" s="479"/>
      <c r="Q27" s="477">
        <f t="shared" ca="1" si="17"/>
        <v>170.0431713564262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6307.2583397320213</v>
      </c>
      <c r="C31" s="488">
        <f t="shared" ca="1" si="18"/>
        <v>0</v>
      </c>
      <c r="D31" s="488">
        <f t="shared" ca="1" si="18"/>
        <v>12432.029458120622</v>
      </c>
      <c r="E31" s="488">
        <f t="shared" si="18"/>
        <v>631.49900603384037</v>
      </c>
      <c r="F31" s="488">
        <f t="shared" ca="1" si="18"/>
        <v>7258.4775503442097</v>
      </c>
      <c r="G31" s="488">
        <f t="shared" si="18"/>
        <v>26567.047740887549</v>
      </c>
      <c r="H31" s="488">
        <f t="shared" si="18"/>
        <v>4467.5323159942718</v>
      </c>
      <c r="I31" s="488">
        <f t="shared" si="18"/>
        <v>0</v>
      </c>
      <c r="J31" s="488">
        <f t="shared" si="18"/>
        <v>99.419268388869028</v>
      </c>
      <c r="K31" s="488">
        <f t="shared" si="18"/>
        <v>0</v>
      </c>
      <c r="L31" s="488">
        <f t="shared" ca="1" si="18"/>
        <v>0</v>
      </c>
      <c r="M31" s="488">
        <f t="shared" si="18"/>
        <v>0</v>
      </c>
      <c r="N31" s="488">
        <f t="shared" ca="1" si="18"/>
        <v>0</v>
      </c>
      <c r="O31" s="488">
        <f t="shared" si="18"/>
        <v>0</v>
      </c>
      <c r="P31" s="489">
        <f t="shared" si="18"/>
        <v>0</v>
      </c>
      <c r="Q31" s="489">
        <f t="shared" ca="1" si="18"/>
        <v>57763.263679501375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0.1884766971119802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0.1884766971119802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0.1884766971119802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2019-01-01T21:17:49Z</dcterms:modified>
</cp:coreProperties>
</file>