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B22" i="6"/>
  <c r="C29" i="20" s="1"/>
  <c r="J5" i="48"/>
  <c r="J22"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C18" i="15" l="1"/>
  <c r="C20" s="1"/>
  <c r="D36" i="14" s="1"/>
  <c r="C20" i="16"/>
  <c r="C22" s="1"/>
  <c r="D39" i="14" s="1"/>
  <c r="Q5" i="48"/>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<sst xmlns="http://schemas.openxmlformats.org/spreadsheetml/2006/main" count="2144" uniqueCount="862">
  <si>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</si>
  <si>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</si>
  <si>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</si>
  <si>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</si>
  <si>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</si>
  <si>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</si>
  <si>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</si>
  <si>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</si>
  <si>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</si>
  <si>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</si>
  <si>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</si>
  <si>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</si>
  <si>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</si>
  <si>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</si>
  <si>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</si>
  <si>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</si>
  <si>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</si>
  <si>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</si>
  <si>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</si>
  <si>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</si>
  <si>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</si>
  <si>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</si>
  <si>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</si>
  <si>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</si>
  <si>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</si>
  <si>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</si>
  <si>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</si>
  <si>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</si>
  <si>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</si>
  <si>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</si>
  <si>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</si>
  <si>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</si>
  <si>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</si>
  <si>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</si>
  <si>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</si>
  <si>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</si>
  <si>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</si>
  <si>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</si>
  <si>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</si>
  <si>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</si>
  <si>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</si>
  <si>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</si>
  <si>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</si>
  <si>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</si>
  <si>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</si>
  <si>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</si>
  <si>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</si>
  <si>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</si>
  <si>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</si>
  <si>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</si>
  <si>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</si>
  <si>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</si>
  <si>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</si>
  <si>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</si>
  <si>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</si>
  <si>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</si>
  <si>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</si>
  <si>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</si>
  <si>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</si>
  <si>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</si>
  <si>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</si>
  <si>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</si>
  <si>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</si>
  <si>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</si>
  <si>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</si>
  <si>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</si>
  <si>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</si>
  <si>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</si>
  <si>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</si>
  <si>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</si>
  <si>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</si>
  <si>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</si>
  <si>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</si>
  <si>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</si>
  <si>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</si>
  <si>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</si>
  <si>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</si>
  <si>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</si>
  <si>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</si>
  <si>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</si>
  <si>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</si>
  <si>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</si>
  <si>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</si>
  <si>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</si>
  <si>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</si>
  <si>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</si>
  <si>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</si>
  <si>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</si>
  <si>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</si>
  <si>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</si>
  <si>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</si>
  <si>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</si>
  <si>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</si>
  <si>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</si>
  <si>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</si>
  <si>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</si>
  <si>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</si>
  <si>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</si>
  <si>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</si>
  <si>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</si>
  <si>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</si>
  <si>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</si>
  <si>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</si>
  <si>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</si>
  <si>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</si>
  <si>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</si>
  <si>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</si>
  <si>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</si>
  <si>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</si>
  <si>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</si>
  <si>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</si>
  <si>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</si>
  <si>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</si>
  <si>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</si>
  <si>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</si>
  <si>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</si>
  <si>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</si>
  <si>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</si>
  <si>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</si>
  <si>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</si>
  <si>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</si>
  <si>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</si>
  <si>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</si>
  <si>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</si>
  <si>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</si>
  <si>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</si>
  <si>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</si>
  <si>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</si>
  <si>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</si>
  <si>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</si>
  <si>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</si>
  <si>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</si>
  <si>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</si>
  <si>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</si>
  <si>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</si>
  <si>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</si>
  <si>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</si>
  <si>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</si>
  <si>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</si>
  <si>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</si>
  <si>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</si>
  <si>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</si>
  <si>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</si>
  <si>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</si>
  <si>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</si>
  <si>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</si>
  <si>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</si>
  <si>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</si>
  <si>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</si>
  <si>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</si>
  <si>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</si>
  <si>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</si>
  <si>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</si>
  <si>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</si>
  <si>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</si>
  <si>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</si>
  <si>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</si>
  <si>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</si>
  <si>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</si>
  <si>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</si>
  <si>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</si>
  <si>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</si>
  <si>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</si>
  <si>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</si>
  <si>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</si>
  <si>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</si>
  <si>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</si>
  <si>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</si>
  <si>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</si>
  <si>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</si>
  <si>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</si>
  <si>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</si>
  <si>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</si>
  <si>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</si>
  <si>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</si>
  <si>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</si>
  <si>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</si>
  <si>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</si>
  <si>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</si>
  <si>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</si>
  <si>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</si>
  <si>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</si>
  <si>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</si>
  <si>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</si>
  <si>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</si>
  <si>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</si>
  <si>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</si>
  <si>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</si>
  <si>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</si>
  <si>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</si>
  <si>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</si>
  <si>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</si>
  <si>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</si>
  <si>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</si>
  <si>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</si>
  <si>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</si>
  <si>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</si>
  <si>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</si>
  <si>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</si>
  <si>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</si>
  <si>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</si>
  <si>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</si>
  <si>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</si>
  <si>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</si>
  <si>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</si>
  <si>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</si>
  <si>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</si>
  <si>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</si>
  <si>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</si>
  <si>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</si>
  <si>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</si>
  <si>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</si>
  <si>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</si>
  <si>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</si>
  <si>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</si>
  <si>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</si>
  <si>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</si>
  <si>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</si>
  <si>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</si>
  <si>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</si>
  <si>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</si>
  <si>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</si>
  <si>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</si>
  <si>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</si>
  <si>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</si>
  <si>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</si>
  <si>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</si>
  <si>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</si>
  <si>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</si>
  <si>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</si>
  <si>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</si>
  <si>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</si>
  <si>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</si>
  <si>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</si>
  <si>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</si>
  <si>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</si>
  <si>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</si>
  <si>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</si>
  <si>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</si>
  <si>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</si>
  <si>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</si>
  <si>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</si>
  <si>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</si>
  <si>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</si>
  <si>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</si>
  <si>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</si>
  <si>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</si>
  <si>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</si>
  <si>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</si>
  <si>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</si>
  <si>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</si>
  <si>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</si>
  <si>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</si>
  <si>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</si>
  <si>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</si>
  <si>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</si>
  <si>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</si>
  <si>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</si>
  <si>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</si>
  <si>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</si>
  <si>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</si>
  <si>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</si>
  <si>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</si>
  <si>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</si>
  <si>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</si>
  <si>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</si>
  <si>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</si>
  <si>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</si>
  <si>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</si>
  <si>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</si>
  <si>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</si>
  <si>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</si>
  <si>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</si>
  <si>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</si>
  <si>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</si>
  <si>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</si>
  <si>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</si>
  <si>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</si>
  <si>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</si>
  <si>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</si>
  <si>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</si>
  <si>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</si>
  <si>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</si>
  <si>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</si>
  <si>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</si>
  <si>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</si>
  <si>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</si>
  <si>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</si>
  <si>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</si>
  <si>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</si>
  <si>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</si>
  <si>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</si>
  <si>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</si>
  <si>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</si>
  <si>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</si>
  <si>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</si>
  <si>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</si>
  <si>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</si>
  <si>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</si>
  <si>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</si>
  <si>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</si>
  <si>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</si>
  <si>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</si>
  <si>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</si>
  <si>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</si>
  <si>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</si>
  <si>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</si>
  <si>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</si>
  <si>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</si>
  <si>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</si>
  <si>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</si>
  <si>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</si>
  <si>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</si>
  <si>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</si>
  <si>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</si>
  <si>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</si>
  <si>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</si>
  <si>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</si>
  <si>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</si>
  <si>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</si>
  <si>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</si>
  <si>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</si>
  <si>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</si>
  <si>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</si>
  <si>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</si>
  <si>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</si>
  <si>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</si>
  <si>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</si>
  <si>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</si>
  <si>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</si>
  <si>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</si>
  <si>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</si>
  <si>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</si>
  <si>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</si>
  <si>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</si>
  <si>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</si>
  <si>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</si>
  <si>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</si>
  <si>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</si>
  <si>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</si>
  <si>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</si>
  <si>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</si>
  <si>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</si>
  <si>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</si>
  <si>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</si>
  <si>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</si>
  <si>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</si>
  <si>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</si>
  <si>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</si>
  <si>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</si>
  <si>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</si>
  <si>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</si>
  <si>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</si>
  <si>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</si>
  <si>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</si>
  <si>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</si>
  <si>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</si>
  <si>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</si>
  <si>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</si>
  <si>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</si>
  <si>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</si>
  <si>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</si>
  <si>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</si>
  <si>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</si>
  <si>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</si>
  <si>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</si>
  <si>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</si>
  <si>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</si>
  <si>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</si>
  <si>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</si>
  <si>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</si>
  <si>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</si>
  <si>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</si>
  <si>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</si>
  <si>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</si>
  <si>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</si>
  <si>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</si>
  <si>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</si>
  <si>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</si>
  <si>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</si>
  <si>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</si>
  <si>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</si>
  <si>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</si>
  <si>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</si>
  <si>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</si>
  <si>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</si>
  <si>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</si>
  <si>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</si>
  <si>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</si>
  <si>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</si>
  <si>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</si>
  <si>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</si>
  <si>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</si>
  <si>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</si>
  <si>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</si>
  <si>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</si>
  <si>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</si>
  <si>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</si>
  <si>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</si>
  <si>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</si>
  <si>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</si>
  <si>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</si>
  <si>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</si>
  <si>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</si>
  <si>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</si>
  <si>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</si>
  <si>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</si>
  <si>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</si>
  <si>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</si>
  <si>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</si>
  <si>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</si>
  <si>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</si>
  <si>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</si>
  <si>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</si>
  <si>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</si>
  <si>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</si>
  <si>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</si>
  <si>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</si>
  <si>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</si>
  <si>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</si>
  <si>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</si>
  <si>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</si>
  <si>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</si>
  <si>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</si>
  <si>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</si>
  <si>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</si>
  <si>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</si>
  <si>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</si>
  <si>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</si>
  <si>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</si>
  <si>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</si>
  <si>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</si>
  <si>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</si>
  <si>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</si>
  <si>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</si>
  <si>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</si>
  <si>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</si>
  <si>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</si>
  <si>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</si>
  <si>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</si>
  <si>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</si>
  <si>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</si>
  <si>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</si>
  <si>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</si>
  <si>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</si>
  <si>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</si>
  <si>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</si>
  <si>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</si>
  <si>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</si>
  <si>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</si>
  <si>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</si>
  <si>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</si>
  <si>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</si>
  <si>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</si>
  <si>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</si>
  <si>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</si>
  <si>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</si>
  <si>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</si>
  <si>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</si>
  <si>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</si>
  <si>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</si>
  <si>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</si>
  <si>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</si>
  <si>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</si>
  <si>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</si>
  <si>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</si>
  <si>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</si>
  <si>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</si>
  <si>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</si>
  <si>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</si>
  <si>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</si>
  <si>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</si>
  <si>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</si>
  <si>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</si>
  <si>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</si>
  <si>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</si>
  <si>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</si>
  <si>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</si>
  <si>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</si>
  <si>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</si>
  <si>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</si>
  <si>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</si>
  <si>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</si>
  <si>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</si>
  <si>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</si>
  <si>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</si>
  <si>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</si>
  <si>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</si>
  <si>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</si>
  <si>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</si>
  <si>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</si>
  <si>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</si>
  <si>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</si>
  <si>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</si>
  <si>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</si>
  <si>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</si>
  <si>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</si>
  <si>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</si>
  <si>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</si>
  <si>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</si>
  <si>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</si>
  <si>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</si>
  <si>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</si>
  <si>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</si>
  <si>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</si>
  <si>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</si>
  <si>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</si>
  <si>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</si>
  <si>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</si>
  <si>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</si>
  <si>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</si>
  <si>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</si>
  <si>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</si>
  <si>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</si>
  <si>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</si>
  <si>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</si>
  <si>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</si>
  <si>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</si>
  <si>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</si>
  <si>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</si>
  <si>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</si>
  <si>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</si>
  <si>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</si>
  <si>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</si>
  <si>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</si>
  <si>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</si>
  <si>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</si>
  <si>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</si>
  <si>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</si>
  <si>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</si>
  <si>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</si>
  <si>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</si>
  <si>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</si>
  <si>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</si>
  <si>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</si>
  <si>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</si>
  <si>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</si>
  <si>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</si>
  <si>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</si>
  <si>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</si>
  <si>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</si>
  <si>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</si>
  <si>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</si>
  <si>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</si>
  <si>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</si>
  <si>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</si>
  <si>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</si>
  <si>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</si>
  <si>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</si>
  <si>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</si>
  <si>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</si>
  <si>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</si>
  <si>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</si>
  <si>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</si>
  <si>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</si>
  <si>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</si>
  <si>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</si>
  <si>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</si>
  <si>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</si>
  <si>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</si>
  <si>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</si>
  <si>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</si>
  <si>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</si>
  <si>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</si>
  <si>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</si>
  <si>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</si>
  <si>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</si>
  <si>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</si>
  <si>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</si>
  <si>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</si>
  <si>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</si>
  <si>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</si>
  <si>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</si>
  <si>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</si>
  <si>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</si>
  <si>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</si>
  <si>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</si>
  <si>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</si>
  <si>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</si>
  <si>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</si>
  <si>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</si>
  <si>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</si>
  <si>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</si>
  <si>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</si>
  <si>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</si>
  <si>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</si>
  <si>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</si>
  <si>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</si>
  <si>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</si>
  <si>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</si>
  <si>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</si>
  <si>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</si>
  <si>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</si>
  <si>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</si>
  <si>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</si>
  <si>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</si>
  <si>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</si>
  <si>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</si>
  <si>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</si>
  <si>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</si>
  <si>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</si>
  <si>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</si>
  <si>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</si>
  <si>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</si>
  <si>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</si>
  <si>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</si>
  <si>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</si>
  <si>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</si>
  <si>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</si>
  <si>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</si>
  <si>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</si>
  <si>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</si>
  <si>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</si>
  <si>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</si>
  <si>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</si>
  <si>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</si>
  <si>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</si>
  <si>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</si>
  <si>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</si>
  <si>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</si>
  <si>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</si>
  <si>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</si>
  <si>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</si>
  <si>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</si>
  <si>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</si>
  <si>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</si>
  <si>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</si>
  <si>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</si>
  <si>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</si>
  <si>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</si>
  <si>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</si>
  <si>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</si>
  <si>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</si>
  <si>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</si>
  <si>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</si>
  <si>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</si>
  <si>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</si>
  <si>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</si>
  <si>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</si>
  <si>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</si>
  <si>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</si>
  <si>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</si>
  <si>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</si>
  <si>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</si>
  <si>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</si>
  <si>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</si>
  <si>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</si>
  <si>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</si>
  <si>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</si>
  <si>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</si>
  <si>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</si>
  <si>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</si>
  <si>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</si>
  <si>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</si>
  <si>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</si>
  <si>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</si>
  <si>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</si>
  <si>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</si>
  <si>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</si>
  <si>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</si>
  <si>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</si>
  <si>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</si>
  <si>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</si>
  <si>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</si>
  <si>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</si>
  <si>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</si>
  <si>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</si>
  <si>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</si>
  <si>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</si>
  <si>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</si>
  <si>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</si>
  <si>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</si>
  <si>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</si>
  <si>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</si>
  <si>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</si>
  <si>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</si>
  <si>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</si>
  <si>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</si>
  <si>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</si>
  <si>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</si>
  <si>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</si>
  <si>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</si>
  <si>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</si>
  <si>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</si>
  <si>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</si>
  <si>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</si>
  <si>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</si>
  <si>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</si>
  <si>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</si>
  <si>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</si>
  <si>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</si>
  <si>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</si>
  <si>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</si>
  <si>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</si>
  <si>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</si>
  <si>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</si>
  <si>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</si>
  <si>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</si>
  <si>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</si>
  <si>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</si>
  <si>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</si>
  <si>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</si>
  <si>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</si>
  <si>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</si>
  <si>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</si>
  <si>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</si>
  <si>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</si>
  <si>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</si>
  <si>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</si>
  <si>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</si>
  <si>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</si>
  <si>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</si>
  <si>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</si>
  <si>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</si>
  <si>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</si>
  <si>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</si>
  <si>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</si>
  <si>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</si>
  <si>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</si>
  <si>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</si>
  <si>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</si>
  <si>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</si>
  <si>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</si>
  <si>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</si>
  <si>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</si>
  <si>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</si>
  <si>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</si>
  <si>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</si>
  <si>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</si>
  <si>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</si>
  <si>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</si>
  <si>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</si>
  <si>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</si>
  <si>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</si>
  <si>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</si>
  <si>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</si>
  <si>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</si>
  <si>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</si>
  <si>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</si>
  <si>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</si>
  <si>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</si>
  <si>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</si>
  <si>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</si>
  <si>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</si>
  <si>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</si>
  <si>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</si>
  <si>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</si>
  <si>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</si>
  <si>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</si>
  <si>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</si>
  <si>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</si>
  <si>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</si>
  <si>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</si>
  <si>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</si>
  <si>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</si>
  <si>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</si>
  <si>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</si>
  <si>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</si>
  <si>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</si>
  <si>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</si>
  <si>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</si>
  <si>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</si>
  <si>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</si>
  <si>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</si>
  <si>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</si>
  <si>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</si>
  <si>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</si>
  <si>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</si>
  <si>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</si>
  <si>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</si>
  <si>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</si>
  <si>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</si>
  <si>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</si>
  <si>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</si>
  <si>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</si>
  <si>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</si>
  <si>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</si>
  <si>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</si>
  <si>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</si>
  <si>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</si>
  <si>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</si>
  <si>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</si>
  <si>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</si>
  <si>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</si>
  <si>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</si>
  <si>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</si>
  <si>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</si>
  <si>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</si>
  <si>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</si>
  <si>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</si>
  <si>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</si>
  <si>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</si>
  <si>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</si>
  <si>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</si>
  <si>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</si>
  <si>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</si>
  <si>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</si>
  <si>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</si>
  <si>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</si>
  <si>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</si>
  <si>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</si>
  <si>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</si>
  <si>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</si>
  <si>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</si>
  <si>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</si>
  <si>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</si>
  <si>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</si>
  <si>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</si>
  <si>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</si>
  <si>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</si>
  <si>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</si>
  <si>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</si>
  <si>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</si>
  <si>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</si>
  <si>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</si>
  <si>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</si>
  <si>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</si>
  <si>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</si>
  <si>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</si>
  <si>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</si>
  <si>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</si>
  <si>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</si>
  <si>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</si>
  <si>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</si>
  <si>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</si>
  <si>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</si>
  <si>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</si>
  <si>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</si>
  <si>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</si>
  <si>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</si>
  <si>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</si>
  <si>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</si>
  <si>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</si>
  <si>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</si>
  <si>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</si>
  <si>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</si>
  <si>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13035</t>
  </si>
  <si>
    <t>RAVELS</t>
  </si>
  <si>
    <t>Eandis (januari 2018); Infrax (juni 2018)</t>
  </si>
  <si>
    <t>MOW (september 2017)</t>
  </si>
  <si>
    <t>referentietaak LNE (2017); Jaarverslag De Lijn (2016)</t>
  </si>
  <si>
    <t>VEA (april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</si>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</sst>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157218.49439471419</c:v>
                </c:pt>
                <c:pt idx="1">
                  <c:v>31701.020826180633</c:v>
                </c:pt>
                <c:pt idx="2">
                  <c:v>1022.6180000000001</c:v>
                </c:pt>
                <c:pt idx="3">
                  <c:v>139472.87943804861</c:v>
                </c:pt>
                <c:pt idx="4">
                  <c:v>64686.72539368688</c:v>
                </c:pt>
                <c:pt idx="5">
                  <c:v>67745.384966292375</c:v>
                </c:pt>
                <c:pt idx="6">
                  <c:v>1418.5436620372939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157218.49439471419</c:v>
                </c:pt>
                <c:pt idx="1">
                  <c:v>31701.020826180633</c:v>
                </c:pt>
                <c:pt idx="2">
                  <c:v>1022.6180000000001</c:v>
                </c:pt>
                <c:pt idx="3">
                  <c:v>139472.87943804861</c:v>
                </c:pt>
                <c:pt idx="4">
                  <c:v>64686.72539368688</c:v>
                </c:pt>
                <c:pt idx="5">
                  <c:v>67745.384966292375</c:v>
                </c:pt>
                <c:pt idx="6">
                  <c:v>1418.5436620372939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25676.118977733684</c:v>
                </c:pt>
                <c:pt idx="1">
                  <c:v>6184.2981922121389</c:v>
                </c:pt>
                <c:pt idx="2">
                  <c:v>214.25665932207878</c:v>
                </c:pt>
                <c:pt idx="3">
                  <c:v>34291.144100538011</c:v>
                </c:pt>
                <c:pt idx="4">
                  <c:v>12768.552387514937</c:v>
                </c:pt>
                <c:pt idx="5">
                  <c:v>16951.154711374074</c:v>
                </c:pt>
                <c:pt idx="6">
                  <c:v>358.39585534617413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25676.118977733684</c:v>
                </c:pt>
                <c:pt idx="1">
                  <c:v>6184.2981922121389</c:v>
                </c:pt>
                <c:pt idx="2">
                  <c:v>214.25665932207878</c:v>
                </c:pt>
                <c:pt idx="3">
                  <c:v>34291.144100538011</c:v>
                </c:pt>
                <c:pt idx="4">
                  <c:v>12768.552387514937</c:v>
                </c:pt>
                <c:pt idx="5">
                  <c:v>16951.154711374074</c:v>
                </c:pt>
                <c:pt idx="6">
                  <c:v>358.39585534617413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14881.049650609872</v>
      </c>
      <c r="D10" s="718">
        <f ca="1">tertiair!C16</f>
        <v>0</v>
      </c>
      <c r="E10" s="718">
        <f ca="1">tertiair!D16</f>
        <v>12801.052046088947</v>
      </c>
      <c r="F10" s="718">
        <f>tertiair!E16</f>
        <v>140.19235603207892</v>
      </c>
      <c r="G10" s="718">
        <f ca="1">tertiair!F16</f>
        <v>2483.3436037817701</v>
      </c>
      <c r="H10" s="718">
        <f>tertiair!G16</f>
        <v>0</v>
      </c>
      <c r="I10" s="718">
        <f>tertiair!H16</f>
        <v>0</v>
      </c>
      <c r="J10" s="718">
        <f>tertiair!I16</f>
        <v>0</v>
      </c>
      <c r="K10" s="718">
        <f>tertiair!J16</f>
        <v>6.032340563908957E-2</v>
      </c>
      <c r="L10" s="718">
        <f>tertiair!K16</f>
        <v>0</v>
      </c>
      <c r="M10" s="718">
        <f ca="1">tertiair!L16</f>
        <v>0</v>
      </c>
      <c r="N10" s="718">
        <f>tertiair!M16</f>
        <v>0</v>
      </c>
      <c r="O10" s="718">
        <f ca="1">tertiair!N16</f>
        <v>2413.2508462623255</v>
      </c>
      <c r="P10" s="718">
        <f>tertiair!O16</f>
        <v>4.6900000000000004</v>
      </c>
      <c r="Q10" s="719">
        <f>tertiair!P16</f>
        <v>0</v>
      </c>
      <c r="R10" s="721">
        <f ca="1">SUM(C10:Q10)</f>
        <v>32723.638826180631</v>
      </c>
      <c r="S10" s="67"/>
    </row>
    <row r="11" spans="1:19" s="474" customFormat="1">
      <c r="A11" s="870" t="s">
        <v>225</v>
      </c>
      <c r="B11" s="875"/>
      <c r="C11" s="718">
        <f>huishoudens!B8</f>
        <v>26986.722071874996</v>
      </c>
      <c r="D11" s="718">
        <f>huishoudens!C8</f>
        <v>0</v>
      </c>
      <c r="E11" s="718">
        <f>huishoudens!D8</f>
        <v>65895.736795757737</v>
      </c>
      <c r="F11" s="718">
        <f>huishoudens!E8</f>
        <v>12880.187458586022</v>
      </c>
      <c r="G11" s="718">
        <f>huishoudens!F8</f>
        <v>14184.192250874417</v>
      </c>
      <c r="H11" s="718">
        <f>huishoudens!G8</f>
        <v>0</v>
      </c>
      <c r="I11" s="718">
        <f>huishoudens!H8</f>
        <v>0</v>
      </c>
      <c r="J11" s="718">
        <f>huishoudens!I8</f>
        <v>0</v>
      </c>
      <c r="K11" s="718">
        <f>huishoudens!J8</f>
        <v>0</v>
      </c>
      <c r="L11" s="718">
        <f>huishoudens!K8</f>
        <v>0</v>
      </c>
      <c r="M11" s="718">
        <f>huishoudens!L8</f>
        <v>0</v>
      </c>
      <c r="N11" s="718">
        <f>huishoudens!M8</f>
        <v>0</v>
      </c>
      <c r="O11" s="718">
        <f>huishoudens!N8</f>
        <v>35803.739150954345</v>
      </c>
      <c r="P11" s="718">
        <f>huishoudens!O8</f>
        <v>304.85000000000002</v>
      </c>
      <c r="Q11" s="719">
        <f>huishoudens!P8</f>
        <v>1163.0666666666666</v>
      </c>
      <c r="R11" s="721">
        <f>SUM(C11:Q11)</f>
        <v>157218.49439471419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28163.863677011548</v>
      </c>
      <c r="D13" s="718">
        <f>industrie!C18</f>
        <v>0</v>
      </c>
      <c r="E13" s="718">
        <f>industrie!D18</f>
        <v>26374.458641614001</v>
      </c>
      <c r="F13" s="718">
        <f>industrie!E18</f>
        <v>1110.2052382212914</v>
      </c>
      <c r="G13" s="718">
        <f>industrie!F18</f>
        <v>4764.7872015802259</v>
      </c>
      <c r="H13" s="718">
        <f>industrie!G18</f>
        <v>0</v>
      </c>
      <c r="I13" s="718">
        <f>industrie!H18</f>
        <v>0</v>
      </c>
      <c r="J13" s="718">
        <f>industrie!I18</f>
        <v>0</v>
      </c>
      <c r="K13" s="718">
        <f>industrie!J18</f>
        <v>44.820921304552641</v>
      </c>
      <c r="L13" s="718">
        <f>industrie!K18</f>
        <v>0</v>
      </c>
      <c r="M13" s="718">
        <f>industrie!L18</f>
        <v>0</v>
      </c>
      <c r="N13" s="718">
        <f>industrie!M18</f>
        <v>0</v>
      </c>
      <c r="O13" s="718">
        <f>industrie!N18</f>
        <v>4228.5897139552517</v>
      </c>
      <c r="P13" s="718">
        <f>industrie!O18</f>
        <v>0</v>
      </c>
      <c r="Q13" s="719">
        <f>industrie!P18</f>
        <v>0</v>
      </c>
      <c r="R13" s="721">
        <f>SUM(C13:Q13)</f>
        <v>64686.72539368688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70031.635399496416</v>
      </c>
      <c r="D15" s="723">
        <f t="shared" ref="D15:Q15" ca="1" si="0">SUM(D9:D14)</f>
        <v>0</v>
      </c>
      <c r="E15" s="723">
        <f t="shared" ca="1" si="0"/>
        <v>105071.2474834607</v>
      </c>
      <c r="F15" s="723">
        <f t="shared" si="0"/>
        <v>14130.585052839393</v>
      </c>
      <c r="G15" s="723">
        <f t="shared" ca="1" si="0"/>
        <v>21432.323056236412</v>
      </c>
      <c r="H15" s="723">
        <f t="shared" si="0"/>
        <v>0</v>
      </c>
      <c r="I15" s="723">
        <f t="shared" si="0"/>
        <v>0</v>
      </c>
      <c r="J15" s="723">
        <f t="shared" si="0"/>
        <v>0</v>
      </c>
      <c r="K15" s="723">
        <f t="shared" si="0"/>
        <v>44.88124471019173</v>
      </c>
      <c r="L15" s="723">
        <f t="shared" si="0"/>
        <v>0</v>
      </c>
      <c r="M15" s="723">
        <f t="shared" ca="1" si="0"/>
        <v>0</v>
      </c>
      <c r="N15" s="723">
        <f t="shared" si="0"/>
        <v>0</v>
      </c>
      <c r="O15" s="723">
        <f t="shared" ca="1" si="0"/>
        <v>42445.579711171922</v>
      </c>
      <c r="P15" s="723">
        <f t="shared" si="0"/>
        <v>309.54000000000002</v>
      </c>
      <c r="Q15" s="724">
        <f t="shared" si="0"/>
        <v>1163.0666666666666</v>
      </c>
      <c r="R15" s="725">
        <f ca="1">SUM(R9:R14)</f>
        <v>254628.8586145817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1342.3065743302402</v>
      </c>
      <c r="I18" s="718">
        <f>transport!H54</f>
        <v>0</v>
      </c>
      <c r="J18" s="718">
        <f>transport!I54</f>
        <v>0</v>
      </c>
      <c r="K18" s="718">
        <f>transport!J54</f>
        <v>0</v>
      </c>
      <c r="L18" s="718">
        <f>transport!K54</f>
        <v>0</v>
      </c>
      <c r="M18" s="718">
        <f>transport!L54</f>
        <v>0</v>
      </c>
      <c r="N18" s="718">
        <f>transport!M54</f>
        <v>76.23708770705376</v>
      </c>
      <c r="O18" s="718">
        <f>transport!N54</f>
        <v>0</v>
      </c>
      <c r="P18" s="718">
        <f>transport!O54</f>
        <v>0</v>
      </c>
      <c r="Q18" s="719">
        <f>transport!P54</f>
        <v>0</v>
      </c>
      <c r="R18" s="721">
        <f>SUM(C18:Q18)</f>
        <v>1418.5436620372939</v>
      </c>
      <c r="S18" s="67"/>
    </row>
    <row r="19" spans="1:19" s="474" customFormat="1" ht="15" thickBot="1">
      <c r="A19" s="870" t="s">
        <v>307</v>
      </c>
      <c r="B19" s="875"/>
      <c r="C19" s="727">
        <f>transport!B14</f>
        <v>30.059090349881433</v>
      </c>
      <c r="D19" s="727">
        <f>transport!C14</f>
        <v>0</v>
      </c>
      <c r="E19" s="727">
        <f>transport!D14</f>
        <v>105.87712377469597</v>
      </c>
      <c r="F19" s="727">
        <f>transport!E14</f>
        <v>141.0177351575791</v>
      </c>
      <c r="G19" s="727">
        <f>transport!F14</f>
        <v>0</v>
      </c>
      <c r="H19" s="727">
        <f>transport!G14</f>
        <v>52138.235063138425</v>
      </c>
      <c r="I19" s="727">
        <f>transport!H14</f>
        <v>11929.918998282932</v>
      </c>
      <c r="J19" s="727">
        <f>transport!I14</f>
        <v>0</v>
      </c>
      <c r="K19" s="727">
        <f>transport!J14</f>
        <v>0</v>
      </c>
      <c r="L19" s="727">
        <f>transport!K14</f>
        <v>0</v>
      </c>
      <c r="M19" s="727">
        <f>transport!L14</f>
        <v>0</v>
      </c>
      <c r="N19" s="727">
        <f>transport!M14</f>
        <v>3400.2769555888613</v>
      </c>
      <c r="O19" s="727">
        <f>transport!N14</f>
        <v>0</v>
      </c>
      <c r="P19" s="727">
        <f>transport!O14</f>
        <v>0</v>
      </c>
      <c r="Q19" s="728">
        <f>transport!P14</f>
        <v>0</v>
      </c>
      <c r="R19" s="729">
        <f>SUM(C19:Q19)</f>
        <v>67745.384966292375</v>
      </c>
      <c r="S19" s="67"/>
    </row>
    <row r="20" spans="1:19" s="474" customFormat="1" ht="15.75" thickBot="1">
      <c r="A20" s="730" t="s">
        <v>230</v>
      </c>
      <c r="B20" s="878"/>
      <c r="C20" s="873">
        <f>SUM(C17:C19)</f>
        <v>30.059090349881433</v>
      </c>
      <c r="D20" s="731">
        <f t="shared" ref="D20:R20" si="1">SUM(D17:D19)</f>
        <v>0</v>
      </c>
      <c r="E20" s="731">
        <f t="shared" si="1"/>
        <v>105.87712377469597</v>
      </c>
      <c r="F20" s="731">
        <f t="shared" si="1"/>
        <v>141.0177351575791</v>
      </c>
      <c r="G20" s="731">
        <f t="shared" si="1"/>
        <v>0</v>
      </c>
      <c r="H20" s="731">
        <f t="shared" si="1"/>
        <v>53480.541637468668</v>
      </c>
      <c r="I20" s="731">
        <f t="shared" si="1"/>
        <v>11929.918998282932</v>
      </c>
      <c r="J20" s="731">
        <f t="shared" si="1"/>
        <v>0</v>
      </c>
      <c r="K20" s="731">
        <f t="shared" si="1"/>
        <v>0</v>
      </c>
      <c r="L20" s="731">
        <f t="shared" si="1"/>
        <v>0</v>
      </c>
      <c r="M20" s="731">
        <f t="shared" si="1"/>
        <v>0</v>
      </c>
      <c r="N20" s="731">
        <f t="shared" si="1"/>
        <v>3476.5140432959151</v>
      </c>
      <c r="O20" s="731">
        <f t="shared" si="1"/>
        <v>0</v>
      </c>
      <c r="P20" s="731">
        <f t="shared" si="1"/>
        <v>0</v>
      </c>
      <c r="Q20" s="732">
        <f t="shared" si="1"/>
        <v>0</v>
      </c>
      <c r="R20" s="733">
        <f t="shared" si="1"/>
        <v>69163.928628329668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10591.637607017394</v>
      </c>
      <c r="D22" s="727">
        <f>+landbouw!C8</f>
        <v>82579.5</v>
      </c>
      <c r="E22" s="727">
        <f>+landbouw!D8</f>
        <v>331.73049115116009</v>
      </c>
      <c r="F22" s="727">
        <f>+landbouw!E8</f>
        <v>311.32057986544726</v>
      </c>
      <c r="G22" s="727">
        <f>+landbouw!F8</f>
        <v>44124.18992877908</v>
      </c>
      <c r="H22" s="727">
        <f>+landbouw!G8</f>
        <v>0</v>
      </c>
      <c r="I22" s="727">
        <f>+landbouw!H8</f>
        <v>0</v>
      </c>
      <c r="J22" s="727">
        <f>+landbouw!I8</f>
        <v>0</v>
      </c>
      <c r="K22" s="727">
        <f>+landbouw!J8</f>
        <v>1534.5008312355235</v>
      </c>
      <c r="L22" s="727">
        <f>+landbouw!K8</f>
        <v>0</v>
      </c>
      <c r="M22" s="727">
        <f>+landbouw!L8</f>
        <v>0</v>
      </c>
      <c r="N22" s="727">
        <f>+landbouw!M8</f>
        <v>0</v>
      </c>
      <c r="O22" s="727">
        <f>+landbouw!N8</f>
        <v>0</v>
      </c>
      <c r="P22" s="727">
        <f>+landbouw!O8</f>
        <v>0</v>
      </c>
      <c r="Q22" s="728">
        <f>+landbouw!P8</f>
        <v>0</v>
      </c>
      <c r="R22" s="729">
        <f>SUM(C22:Q22)</f>
        <v>139472.87943804861</v>
      </c>
      <c r="S22" s="67"/>
    </row>
    <row r="23" spans="1:19" s="474" customFormat="1" ht="17.25" thickTop="1" thickBot="1">
      <c r="A23" s="734" t="s">
        <v>116</v>
      </c>
      <c r="B23" s="864"/>
      <c r="C23" s="735">
        <f ca="1">C20+C15+C22</f>
        <v>80653.332096863684</v>
      </c>
      <c r="D23" s="735">
        <f t="shared" ref="D23:Q23" ca="1" si="2">D20+D15+D22</f>
        <v>82579.5</v>
      </c>
      <c r="E23" s="735">
        <f t="shared" ca="1" si="2"/>
        <v>105508.85509838656</v>
      </c>
      <c r="F23" s="735">
        <f t="shared" si="2"/>
        <v>14582.923367862419</v>
      </c>
      <c r="G23" s="735">
        <f t="shared" ca="1" si="2"/>
        <v>65556.512985015492</v>
      </c>
      <c r="H23" s="735">
        <f t="shared" si="2"/>
        <v>53480.541637468668</v>
      </c>
      <c r="I23" s="735">
        <f t="shared" si="2"/>
        <v>11929.918998282932</v>
      </c>
      <c r="J23" s="735">
        <f t="shared" si="2"/>
        <v>0</v>
      </c>
      <c r="K23" s="735">
        <f t="shared" si="2"/>
        <v>1579.3820759457153</v>
      </c>
      <c r="L23" s="735">
        <f t="shared" si="2"/>
        <v>0</v>
      </c>
      <c r="M23" s="735">
        <f t="shared" ca="1" si="2"/>
        <v>0</v>
      </c>
      <c r="N23" s="735">
        <f t="shared" si="2"/>
        <v>3476.5140432959151</v>
      </c>
      <c r="O23" s="735">
        <f t="shared" ca="1" si="2"/>
        <v>42445.579711171922</v>
      </c>
      <c r="P23" s="735">
        <f t="shared" si="2"/>
        <v>309.54000000000002</v>
      </c>
      <c r="Q23" s="736">
        <f t="shared" si="2"/>
        <v>1163.0666666666666</v>
      </c>
      <c r="R23" s="737">
        <f ca="1">R20+R15+R22</f>
        <v>463265.66668095998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3117.8445767096396</v>
      </c>
      <c r="D36" s="718">
        <f ca="1">tertiair!C20</f>
        <v>0</v>
      </c>
      <c r="E36" s="718">
        <f ca="1">tertiair!D20</f>
        <v>2585.8125133099675</v>
      </c>
      <c r="F36" s="718">
        <f>tertiair!E20</f>
        <v>31.823664819281916</v>
      </c>
      <c r="G36" s="718">
        <f ca="1">tertiair!F20</f>
        <v>663.05274220973263</v>
      </c>
      <c r="H36" s="718">
        <f>tertiair!G20</f>
        <v>0</v>
      </c>
      <c r="I36" s="718">
        <f>tertiair!H20</f>
        <v>0</v>
      </c>
      <c r="J36" s="718">
        <f>tertiair!I20</f>
        <v>0</v>
      </c>
      <c r="K36" s="718">
        <f>tertiair!J20</f>
        <v>2.1354485596237708E-2</v>
      </c>
      <c r="L36" s="718">
        <f>tertiair!K20</f>
        <v>0</v>
      </c>
      <c r="M36" s="718">
        <f ca="1">tertiair!L20</f>
        <v>0</v>
      </c>
      <c r="N36" s="718">
        <f>tertiair!M20</f>
        <v>0</v>
      </c>
      <c r="O36" s="718">
        <f ca="1">tertiair!N20</f>
        <v>0</v>
      </c>
      <c r="P36" s="718">
        <f>tertiair!O20</f>
        <v>0</v>
      </c>
      <c r="Q36" s="828">
        <f>tertiair!P20</f>
        <v>0</v>
      </c>
      <c r="R36" s="917">
        <f ca="1">SUM(C36:Q36)</f>
        <v>6398.554851534218</v>
      </c>
    </row>
    <row r="37" spans="1:18">
      <c r="A37" s="885" t="s">
        <v>225</v>
      </c>
      <c r="B37" s="892"/>
      <c r="C37" s="718">
        <f ca="1">huishoudens!B12</f>
        <v>5654.1982609081242</v>
      </c>
      <c r="D37" s="718">
        <f ca="1">huishoudens!C12</f>
        <v>0</v>
      </c>
      <c r="E37" s="718">
        <f>huishoudens!D12</f>
        <v>13310.938832743064</v>
      </c>
      <c r="F37" s="718">
        <f>huishoudens!E12</f>
        <v>2923.8025530990271</v>
      </c>
      <c r="G37" s="718">
        <f>huishoudens!F12</f>
        <v>3787.1793309834698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25676.118977733684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5900.830363868944</v>
      </c>
      <c r="D39" s="718">
        <f ca="1">industrie!C22</f>
        <v>0</v>
      </c>
      <c r="E39" s="718">
        <f>industrie!D22</f>
        <v>5327.6406456060286</v>
      </c>
      <c r="F39" s="718">
        <f>industrie!E22</f>
        <v>252.01658907623317</v>
      </c>
      <c r="G39" s="718">
        <f>industrie!F22</f>
        <v>1272.1981828219205</v>
      </c>
      <c r="H39" s="718">
        <f>industrie!G22</f>
        <v>0</v>
      </c>
      <c r="I39" s="718">
        <f>industrie!H22</f>
        <v>0</v>
      </c>
      <c r="J39" s="718">
        <f>industrie!I22</f>
        <v>0</v>
      </c>
      <c r="K39" s="718">
        <f>industrie!J22</f>
        <v>15.866606141811634</v>
      </c>
      <c r="L39" s="718">
        <f>industrie!K22</f>
        <v>0</v>
      </c>
      <c r="M39" s="718">
        <f>industrie!L22</f>
        <v>0</v>
      </c>
      <c r="N39" s="718">
        <f>industrie!M22</f>
        <v>0</v>
      </c>
      <c r="O39" s="718">
        <f>industrie!N22</f>
        <v>0</v>
      </c>
      <c r="P39" s="718">
        <f>industrie!O22</f>
        <v>0</v>
      </c>
      <c r="Q39" s="828">
        <f>industrie!P22</f>
        <v>0</v>
      </c>
      <c r="R39" s="918">
        <f ca="1">SUM(C39:Q39)</f>
        <v>12768.552387514937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14672.873201486709</v>
      </c>
      <c r="D41" s="763">
        <f t="shared" ref="D41:R41" ca="1" si="4">SUM(D35:D40)</f>
        <v>0</v>
      </c>
      <c r="E41" s="763">
        <f t="shared" ca="1" si="4"/>
        <v>21224.39199165906</v>
      </c>
      <c r="F41" s="763">
        <f t="shared" si="4"/>
        <v>3207.6428069945423</v>
      </c>
      <c r="G41" s="763">
        <f t="shared" ca="1" si="4"/>
        <v>5722.4302560151227</v>
      </c>
      <c r="H41" s="763">
        <f t="shared" si="4"/>
        <v>0</v>
      </c>
      <c r="I41" s="763">
        <f t="shared" si="4"/>
        <v>0</v>
      </c>
      <c r="J41" s="763">
        <f t="shared" si="4"/>
        <v>0</v>
      </c>
      <c r="K41" s="763">
        <f t="shared" si="4"/>
        <v>15.887960627407871</v>
      </c>
      <c r="L41" s="763">
        <f t="shared" si="4"/>
        <v>0</v>
      </c>
      <c r="M41" s="763">
        <f t="shared" ca="1" si="4"/>
        <v>0</v>
      </c>
      <c r="N41" s="763">
        <f t="shared" si="4"/>
        <v>0</v>
      </c>
      <c r="O41" s="763">
        <f t="shared" ca="1" si="4"/>
        <v>0</v>
      </c>
      <c r="P41" s="763">
        <f t="shared" si="4"/>
        <v>0</v>
      </c>
      <c r="Q41" s="764">
        <f t="shared" si="4"/>
        <v>0</v>
      </c>
      <c r="R41" s="765">
        <f t="shared" ca="1" si="4"/>
        <v>44843.226216782838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358.39585534617413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358.39585534617413</v>
      </c>
    </row>
    <row r="45" spans="1:18" ht="15" thickBot="1">
      <c r="A45" s="888" t="s">
        <v>307</v>
      </c>
      <c r="B45" s="898"/>
      <c r="C45" s="727">
        <f ca="1">transport!B18</f>
        <v>6.2979140604078276</v>
      </c>
      <c r="D45" s="727">
        <f>transport!C18</f>
        <v>0</v>
      </c>
      <c r="E45" s="727">
        <f>transport!D18</f>
        <v>21.387179002488587</v>
      </c>
      <c r="F45" s="727">
        <f>transport!E18</f>
        <v>32.011025880770454</v>
      </c>
      <c r="G45" s="727">
        <f>transport!F18</f>
        <v>0</v>
      </c>
      <c r="H45" s="727">
        <f>transport!G18</f>
        <v>13920.90876185796</v>
      </c>
      <c r="I45" s="727">
        <f>transport!H18</f>
        <v>2970.54983057245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16951.154711374074</v>
      </c>
    </row>
    <row r="46" spans="1:18" ht="15.75" thickBot="1">
      <c r="A46" s="886" t="s">
        <v>230</v>
      </c>
      <c r="B46" s="899"/>
      <c r="C46" s="763">
        <f t="shared" ref="C46:R46" ca="1" si="5">SUM(C43:C45)</f>
        <v>6.2979140604078276</v>
      </c>
      <c r="D46" s="763">
        <f t="shared" ca="1" si="5"/>
        <v>0</v>
      </c>
      <c r="E46" s="763">
        <f t="shared" si="5"/>
        <v>21.387179002488587</v>
      </c>
      <c r="F46" s="763">
        <f t="shared" si="5"/>
        <v>32.011025880770454</v>
      </c>
      <c r="G46" s="763">
        <f t="shared" si="5"/>
        <v>0</v>
      </c>
      <c r="H46" s="763">
        <f t="shared" si="5"/>
        <v>14279.304617204134</v>
      </c>
      <c r="I46" s="763">
        <f t="shared" si="5"/>
        <v>2970.54983057245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17309.550566720249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2219.1364619336287</v>
      </c>
      <c r="D48" s="718">
        <f ca="1">+landbouw!C12</f>
        <v>19609.956302521012</v>
      </c>
      <c r="E48" s="718">
        <f>+landbouw!D12</f>
        <v>67.009559212534342</v>
      </c>
      <c r="F48" s="718">
        <f>+landbouw!E12</f>
        <v>70.669771629456534</v>
      </c>
      <c r="G48" s="718">
        <f>+landbouw!F12</f>
        <v>11781.158710984015</v>
      </c>
      <c r="H48" s="718">
        <f>+landbouw!G12</f>
        <v>0</v>
      </c>
      <c r="I48" s="718">
        <f>+landbouw!H12</f>
        <v>0</v>
      </c>
      <c r="J48" s="718">
        <f>+landbouw!I12</f>
        <v>0</v>
      </c>
      <c r="K48" s="718">
        <f>+landbouw!J12</f>
        <v>543.21329425737531</v>
      </c>
      <c r="L48" s="718">
        <f>+landbouw!K12</f>
        <v>0</v>
      </c>
      <c r="M48" s="718">
        <f>+landbouw!L12</f>
        <v>0</v>
      </c>
      <c r="N48" s="718">
        <f>+landbouw!M12</f>
        <v>0</v>
      </c>
      <c r="O48" s="718">
        <f>+landbouw!N12</f>
        <v>0</v>
      </c>
      <c r="P48" s="718">
        <f>+landbouw!O12</f>
        <v>0</v>
      </c>
      <c r="Q48" s="719">
        <f>+landbouw!P12</f>
        <v>0</v>
      </c>
      <c r="R48" s="761">
        <f ca="1">SUM(C48:Q48)</f>
        <v>34291.144100538011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16898.307577480744</v>
      </c>
      <c r="D53" s="773">
        <f t="shared" ref="D53:Q53" ca="1" si="6">D41+D46+D48</f>
        <v>19609.956302521012</v>
      </c>
      <c r="E53" s="773">
        <f t="shared" ca="1" si="6"/>
        <v>21312.788729874082</v>
      </c>
      <c r="F53" s="773">
        <f t="shared" si="6"/>
        <v>3310.3236045047693</v>
      </c>
      <c r="G53" s="773">
        <f t="shared" ca="1" si="6"/>
        <v>17503.588966999137</v>
      </c>
      <c r="H53" s="773">
        <f t="shared" si="6"/>
        <v>14279.304617204134</v>
      </c>
      <c r="I53" s="773">
        <f t="shared" si="6"/>
        <v>2970.54983057245</v>
      </c>
      <c r="J53" s="773">
        <f t="shared" si="6"/>
        <v>0</v>
      </c>
      <c r="K53" s="773">
        <f t="shared" si="6"/>
        <v>559.1012548847832</v>
      </c>
      <c r="L53" s="773">
        <f t="shared" si="6"/>
        <v>0</v>
      </c>
      <c r="M53" s="773">
        <f t="shared" ca="1" si="6"/>
        <v>0</v>
      </c>
      <c r="N53" s="773">
        <f t="shared" si="6"/>
        <v>0</v>
      </c>
      <c r="O53" s="773">
        <f t="shared" ca="1" si="6"/>
        <v>0</v>
      </c>
      <c r="P53" s="773">
        <f>P41+P46+P48</f>
        <v>0</v>
      </c>
      <c r="Q53" s="774">
        <f t="shared" si="6"/>
        <v>0</v>
      </c>
      <c r="R53" s="775">
        <f ca="1">R41+R46+R48</f>
        <v>96443.920884041087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0.20951778603748297</v>
      </c>
      <c r="D55" s="836">
        <f t="shared" ca="1" si="7"/>
        <v>0.23746760760868027</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8497.7356456598864</v>
      </c>
      <c r="C66" s="795">
        <f>'lokale energieproductie'!B6</f>
        <v>8497.7356456598864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57805.65</v>
      </c>
      <c r="C67" s="794">
        <f>B67*IFERROR(SUM(J67:L67)/SUM(D67:M67),0)</f>
        <v>43.65</v>
      </c>
      <c r="D67" s="826">
        <f>'lokale energieproductie'!C7</f>
        <v>67955.294117647063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13726.969411764707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66303.385645659888</v>
      </c>
      <c r="C69" s="803">
        <f>SUM(C64:C68)</f>
        <v>8541.385645659886</v>
      </c>
      <c r="D69" s="804">
        <f t="shared" ref="D69:M69" si="8">SUM(D67:D68)</f>
        <v>67955.294117647063</v>
      </c>
      <c r="E69" s="804">
        <f t="shared" si="8"/>
        <v>0</v>
      </c>
      <c r="F69" s="804">
        <f t="shared" si="8"/>
        <v>0</v>
      </c>
      <c r="G69" s="804">
        <f t="shared" si="8"/>
        <v>0</v>
      </c>
      <c r="H69" s="804">
        <f t="shared" si="8"/>
        <v>0</v>
      </c>
      <c r="I69" s="804">
        <f t="shared" si="8"/>
        <v>0</v>
      </c>
      <c r="J69" s="804">
        <f t="shared" si="8"/>
        <v>0</v>
      </c>
      <c r="K69" s="804">
        <f t="shared" si="8"/>
        <v>51.352941176470587</v>
      </c>
      <c r="L69" s="804">
        <f t="shared" si="8"/>
        <v>0</v>
      </c>
      <c r="M69" s="930">
        <f t="shared" si="8"/>
        <v>0</v>
      </c>
      <c r="N69" s="805">
        <v>0</v>
      </c>
      <c r="O69" s="805">
        <f>SUM(O67:O68)</f>
        <v>13726.969411764707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82579.5</v>
      </c>
      <c r="C78" s="817">
        <f>B78*IFERROR(SUM(I78:L78)/SUM(D78:M78),0)</f>
        <v>62.35714285714284</v>
      </c>
      <c r="D78" s="832">
        <f>'lokale energieproductie'!C16</f>
        <v>97078.991596638662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19609.956302521012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82579.5</v>
      </c>
      <c r="C81" s="803">
        <f>SUM(C78:C80)</f>
        <v>62.35714285714284</v>
      </c>
      <c r="D81" s="803">
        <f t="shared" ref="D81:P81" si="9">SUM(D78:D80)</f>
        <v>97078.991596638662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19609.956302521012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26986.722071874996</v>
      </c>
      <c r="C4" s="478">
        <f>huishoudens!C8</f>
        <v>0</v>
      </c>
      <c r="D4" s="478">
        <f>huishoudens!D8</f>
        <v>65895.736795757737</v>
      </c>
      <c r="E4" s="478">
        <f>huishoudens!E8</f>
        <v>12880.187458586022</v>
      </c>
      <c r="F4" s="478">
        <f>huishoudens!F8</f>
        <v>14184.192250874417</v>
      </c>
      <c r="G4" s="478">
        <f>huishoudens!G8</f>
        <v>0</v>
      </c>
      <c r="H4" s="478">
        <f>huishoudens!H8</f>
        <v>0</v>
      </c>
      <c r="I4" s="478">
        <f>huishoudens!I8</f>
        <v>0</v>
      </c>
      <c r="J4" s="478">
        <f>huishoudens!J8</f>
        <v>0</v>
      </c>
      <c r="K4" s="478">
        <f>huishoudens!K8</f>
        <v>0</v>
      </c>
      <c r="L4" s="478">
        <f>huishoudens!L8</f>
        <v>0</v>
      </c>
      <c r="M4" s="478">
        <f>huishoudens!M8</f>
        <v>0</v>
      </c>
      <c r="N4" s="478">
        <f>huishoudens!N8</f>
        <v>35803.739150954345</v>
      </c>
      <c r="O4" s="478">
        <f>huishoudens!O8</f>
        <v>304.85000000000002</v>
      </c>
      <c r="P4" s="479">
        <f>huishoudens!P8</f>
        <v>1163.0666666666666</v>
      </c>
      <c r="Q4" s="480">
        <f>SUM(B4:P4)</f>
        <v>157218.49439471419</v>
      </c>
    </row>
    <row r="5" spans="1:17">
      <c r="A5" s="477" t="s">
        <v>156</v>
      </c>
      <c r="B5" s="478">
        <f ca="1">tertiair!B16</f>
        <v>13858.431650609871</v>
      </c>
      <c r="C5" s="478">
        <f ca="1">tertiair!C16</f>
        <v>0</v>
      </c>
      <c r="D5" s="478">
        <f ca="1">tertiair!D16</f>
        <v>12801.052046088947</v>
      </c>
      <c r="E5" s="478">
        <f>tertiair!E16</f>
        <v>140.19235603207892</v>
      </c>
      <c r="F5" s="478">
        <f ca="1">tertiair!F16</f>
        <v>2483.3436037817701</v>
      </c>
      <c r="G5" s="478">
        <f>tertiair!G16</f>
        <v>0</v>
      </c>
      <c r="H5" s="478">
        <f>tertiair!H16</f>
        <v>0</v>
      </c>
      <c r="I5" s="478">
        <f>tertiair!I16</f>
        <v>0</v>
      </c>
      <c r="J5" s="478">
        <f>tertiair!J16</f>
        <v>6.032340563908957E-2</v>
      </c>
      <c r="K5" s="478">
        <f>tertiair!K16</f>
        <v>0</v>
      </c>
      <c r="L5" s="478">
        <f ca="1">tertiair!L16</f>
        <v>0</v>
      </c>
      <c r="M5" s="478">
        <f>tertiair!M16</f>
        <v>0</v>
      </c>
      <c r="N5" s="478">
        <f ca="1">tertiair!N16</f>
        <v>2413.2508462623255</v>
      </c>
      <c r="O5" s="478">
        <f>tertiair!O16</f>
        <v>4.6900000000000004</v>
      </c>
      <c r="P5" s="479">
        <f>tertiair!P16</f>
        <v>0</v>
      </c>
      <c r="Q5" s="477">
        <f t="shared" ref="Q5:Q13" ca="1" si="0">SUM(B5:P5)</f>
        <v>31701.020826180633</v>
      </c>
    </row>
    <row r="6" spans="1:17">
      <c r="A6" s="477" t="s">
        <v>194</v>
      </c>
      <c r="B6" s="478">
        <f>'openbare verlichting'!B8</f>
        <v>1022.6180000000001</v>
      </c>
      <c r="C6" s="478"/>
      <c r="D6" s="478"/>
      <c r="E6" s="478"/>
      <c r="F6" s="478"/>
      <c r="G6" s="478"/>
      <c r="H6" s="478"/>
      <c r="I6" s="478"/>
      <c r="J6" s="478"/>
      <c r="K6" s="478"/>
      <c r="L6" s="478"/>
      <c r="M6" s="478"/>
      <c r="N6" s="478"/>
      <c r="O6" s="478"/>
      <c r="P6" s="479"/>
      <c r="Q6" s="477">
        <f t="shared" si="0"/>
        <v>1022.6180000000001</v>
      </c>
    </row>
    <row r="7" spans="1:17">
      <c r="A7" s="477" t="s">
        <v>112</v>
      </c>
      <c r="B7" s="478">
        <f>landbouw!B8</f>
        <v>10591.637607017394</v>
      </c>
      <c r="C7" s="478">
        <f>landbouw!C8</f>
        <v>82579.5</v>
      </c>
      <c r="D7" s="478">
        <f>landbouw!D8</f>
        <v>331.73049115116009</v>
      </c>
      <c r="E7" s="478">
        <f>landbouw!E8</f>
        <v>311.32057986544726</v>
      </c>
      <c r="F7" s="478">
        <f>landbouw!F8</f>
        <v>44124.18992877908</v>
      </c>
      <c r="G7" s="478">
        <f>landbouw!G8</f>
        <v>0</v>
      </c>
      <c r="H7" s="478">
        <f>landbouw!H8</f>
        <v>0</v>
      </c>
      <c r="I7" s="478">
        <f>landbouw!I8</f>
        <v>0</v>
      </c>
      <c r="J7" s="478">
        <f>landbouw!J8</f>
        <v>1534.5008312355235</v>
      </c>
      <c r="K7" s="478">
        <f>landbouw!K8</f>
        <v>0</v>
      </c>
      <c r="L7" s="478">
        <f>landbouw!L8</f>
        <v>0</v>
      </c>
      <c r="M7" s="478">
        <f>landbouw!M8</f>
        <v>0</v>
      </c>
      <c r="N7" s="478">
        <f>landbouw!N8</f>
        <v>0</v>
      </c>
      <c r="O7" s="478">
        <f>landbouw!O8</f>
        <v>0</v>
      </c>
      <c r="P7" s="479">
        <f>landbouw!P8</f>
        <v>0</v>
      </c>
      <c r="Q7" s="477">
        <f t="shared" si="0"/>
        <v>139472.87943804861</v>
      </c>
    </row>
    <row r="8" spans="1:17">
      <c r="A8" s="477" t="s">
        <v>635</v>
      </c>
      <c r="B8" s="478">
        <f>industrie!B18</f>
        <v>28163.863677011548</v>
      </c>
      <c r="C8" s="478">
        <f>industrie!C18</f>
        <v>0</v>
      </c>
      <c r="D8" s="478">
        <f>industrie!D18</f>
        <v>26374.458641614001</v>
      </c>
      <c r="E8" s="478">
        <f>industrie!E18</f>
        <v>1110.2052382212914</v>
      </c>
      <c r="F8" s="478">
        <f>industrie!F18</f>
        <v>4764.7872015802259</v>
      </c>
      <c r="G8" s="478">
        <f>industrie!G18</f>
        <v>0</v>
      </c>
      <c r="H8" s="478">
        <f>industrie!H18</f>
        <v>0</v>
      </c>
      <c r="I8" s="478">
        <f>industrie!I18</f>
        <v>0</v>
      </c>
      <c r="J8" s="478">
        <f>industrie!J18</f>
        <v>44.820921304552641</v>
      </c>
      <c r="K8" s="478">
        <f>industrie!K18</f>
        <v>0</v>
      </c>
      <c r="L8" s="478">
        <f>industrie!L18</f>
        <v>0</v>
      </c>
      <c r="M8" s="478">
        <f>industrie!M18</f>
        <v>0</v>
      </c>
      <c r="N8" s="478">
        <f>industrie!N18</f>
        <v>4228.5897139552517</v>
      </c>
      <c r="O8" s="478">
        <f>industrie!O18</f>
        <v>0</v>
      </c>
      <c r="P8" s="479">
        <f>industrie!P18</f>
        <v>0</v>
      </c>
      <c r="Q8" s="477">
        <f t="shared" si="0"/>
        <v>64686.72539368688</v>
      </c>
    </row>
    <row r="9" spans="1:17" s="483" customFormat="1">
      <c r="A9" s="481" t="s">
        <v>561</v>
      </c>
      <c r="B9" s="482">
        <f>transport!B14</f>
        <v>30.059090349881433</v>
      </c>
      <c r="C9" s="482"/>
      <c r="D9" s="482">
        <f>transport!D14</f>
        <v>105.87712377469597</v>
      </c>
      <c r="E9" s="482">
        <f>transport!E14</f>
        <v>141.0177351575791</v>
      </c>
      <c r="F9" s="482"/>
      <c r="G9" s="482">
        <f>transport!G14</f>
        <v>52138.235063138425</v>
      </c>
      <c r="H9" s="482">
        <f>transport!H14</f>
        <v>11929.918998282932</v>
      </c>
      <c r="I9" s="482"/>
      <c r="J9" s="482"/>
      <c r="K9" s="482"/>
      <c r="L9" s="482"/>
      <c r="M9" s="482">
        <f>transport!M14</f>
        <v>3400.2769555888613</v>
      </c>
      <c r="N9" s="482"/>
      <c r="O9" s="482"/>
      <c r="P9" s="482"/>
      <c r="Q9" s="481">
        <f>SUM(B9:P9)</f>
        <v>67745.384966292375</v>
      </c>
    </row>
    <row r="10" spans="1:17">
      <c r="A10" s="477" t="s">
        <v>551</v>
      </c>
      <c r="B10" s="478">
        <f>transport!B54</f>
        <v>0</v>
      </c>
      <c r="C10" s="478"/>
      <c r="D10" s="478">
        <f>transport!D54</f>
        <v>0</v>
      </c>
      <c r="E10" s="478"/>
      <c r="F10" s="478"/>
      <c r="G10" s="478">
        <f>transport!G54</f>
        <v>1342.3065743302402</v>
      </c>
      <c r="H10" s="478"/>
      <c r="I10" s="478"/>
      <c r="J10" s="478"/>
      <c r="K10" s="478"/>
      <c r="L10" s="478"/>
      <c r="M10" s="478">
        <f>transport!M54</f>
        <v>76.23708770705376</v>
      </c>
      <c r="N10" s="478"/>
      <c r="O10" s="478"/>
      <c r="P10" s="479"/>
      <c r="Q10" s="477">
        <f t="shared" si="0"/>
        <v>1418.5436620372939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80653.332096863684</v>
      </c>
      <c r="C14" s="488">
        <f t="shared" ref="C14:Q14" ca="1" si="1">SUM(C4:C13)</f>
        <v>82579.5</v>
      </c>
      <c r="D14" s="488">
        <f t="shared" ca="1" si="1"/>
        <v>105508.85509838656</v>
      </c>
      <c r="E14" s="488">
        <f t="shared" si="1"/>
        <v>14582.923367862419</v>
      </c>
      <c r="F14" s="488">
        <f t="shared" ca="1" si="1"/>
        <v>65556.512985015492</v>
      </c>
      <c r="G14" s="488">
        <f t="shared" si="1"/>
        <v>53480.541637468668</v>
      </c>
      <c r="H14" s="488">
        <f t="shared" si="1"/>
        <v>11929.918998282932</v>
      </c>
      <c r="I14" s="488">
        <f t="shared" si="1"/>
        <v>0</v>
      </c>
      <c r="J14" s="488">
        <f t="shared" si="1"/>
        <v>1579.3820759457153</v>
      </c>
      <c r="K14" s="488">
        <f t="shared" si="1"/>
        <v>0</v>
      </c>
      <c r="L14" s="488">
        <f t="shared" ca="1" si="1"/>
        <v>0</v>
      </c>
      <c r="M14" s="488">
        <f t="shared" si="1"/>
        <v>3476.5140432959151</v>
      </c>
      <c r="N14" s="488">
        <f t="shared" ca="1" si="1"/>
        <v>42445.579711171922</v>
      </c>
      <c r="O14" s="488">
        <f t="shared" si="1"/>
        <v>309.54000000000002</v>
      </c>
      <c r="P14" s="489">
        <f t="shared" si="1"/>
        <v>1163.0666666666666</v>
      </c>
      <c r="Q14" s="489">
        <f t="shared" ca="1" si="1"/>
        <v>463265.66668095998</v>
      </c>
    </row>
    <row r="16" spans="1:17">
      <c r="A16" s="491" t="s">
        <v>556</v>
      </c>
      <c r="B16" s="841">
        <f ca="1">huishoudens!B10</f>
        <v>0.20951778603748297</v>
      </c>
      <c r="C16" s="841">
        <f ca="1">huishoudens!C10</f>
        <v>0.23746760760868027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5654.1982609081242</v>
      </c>
      <c r="C21" s="478">
        <f t="shared" ref="C21:C28" ca="1" si="3">C4*$C$16</f>
        <v>0</v>
      </c>
      <c r="D21" s="478">
        <f t="shared" ref="D21:D30" si="4">D4*$D$16</f>
        <v>13310.938832743064</v>
      </c>
      <c r="E21" s="478">
        <f t="shared" ref="E21:E30" si="5">E4*$E$16</f>
        <v>2923.8025530990271</v>
      </c>
      <c r="F21" s="478">
        <f t="shared" ref="F21:F28" si="6">F4*$F$16</f>
        <v>3787.1793309834698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25676.118977733684</v>
      </c>
    </row>
    <row r="22" spans="1:17">
      <c r="A22" s="477" t="s">
        <v>156</v>
      </c>
      <c r="B22" s="478">
        <f t="shared" ca="1" si="2"/>
        <v>2903.587917387561</v>
      </c>
      <c r="C22" s="478">
        <f t="shared" ca="1" si="3"/>
        <v>0</v>
      </c>
      <c r="D22" s="478">
        <f t="shared" ca="1" si="4"/>
        <v>2585.8125133099675</v>
      </c>
      <c r="E22" s="478">
        <f t="shared" si="5"/>
        <v>31.823664819281916</v>
      </c>
      <c r="F22" s="478">
        <f t="shared" ca="1" si="6"/>
        <v>663.05274220973263</v>
      </c>
      <c r="G22" s="478">
        <f t="shared" si="7"/>
        <v>0</v>
      </c>
      <c r="H22" s="478">
        <f t="shared" si="8"/>
        <v>0</v>
      </c>
      <c r="I22" s="478">
        <f t="shared" si="9"/>
        <v>0</v>
      </c>
      <c r="J22" s="478">
        <f t="shared" si="10"/>
        <v>2.1354485596237708E-2</v>
      </c>
      <c r="K22" s="478">
        <f t="shared" si="11"/>
        <v>0</v>
      </c>
      <c r="L22" s="478">
        <f t="shared" ca="1" si="12"/>
        <v>0</v>
      </c>
      <c r="M22" s="478">
        <f t="shared" si="13"/>
        <v>0</v>
      </c>
      <c r="N22" s="478">
        <f t="shared" ca="1" si="14"/>
        <v>0</v>
      </c>
      <c r="O22" s="478">
        <f t="shared" si="15"/>
        <v>0</v>
      </c>
      <c r="P22" s="479">
        <f t="shared" si="16"/>
        <v>0</v>
      </c>
      <c r="Q22" s="477">
        <f t="shared" ref="Q22:Q30" ca="1" si="17">SUM(B22:P22)</f>
        <v>6184.2981922121389</v>
      </c>
    </row>
    <row r="23" spans="1:17">
      <c r="A23" s="477" t="s">
        <v>194</v>
      </c>
      <c r="B23" s="478">
        <f t="shared" ca="1" si="2"/>
        <v>214.25665932207878</v>
      </c>
      <c r="C23" s="478"/>
      <c r="D23" s="478"/>
      <c r="E23" s="478"/>
      <c r="F23" s="478"/>
      <c r="G23" s="478"/>
      <c r="H23" s="478"/>
      <c r="I23" s="478"/>
      <c r="J23" s="478"/>
      <c r="K23" s="478"/>
      <c r="L23" s="478"/>
      <c r="M23" s="478"/>
      <c r="N23" s="478"/>
      <c r="O23" s="478"/>
      <c r="P23" s="479"/>
      <c r="Q23" s="477">
        <f t="shared" ca="1" si="17"/>
        <v>214.25665932207878</v>
      </c>
    </row>
    <row r="24" spans="1:17">
      <c r="A24" s="477" t="s">
        <v>112</v>
      </c>
      <c r="B24" s="478">
        <f t="shared" ca="1" si="2"/>
        <v>2219.1364619336287</v>
      </c>
      <c r="C24" s="478">
        <f t="shared" ca="1" si="3"/>
        <v>19609.956302521012</v>
      </c>
      <c r="D24" s="478">
        <f t="shared" si="4"/>
        <v>67.009559212534342</v>
      </c>
      <c r="E24" s="478">
        <f t="shared" si="5"/>
        <v>70.669771629456534</v>
      </c>
      <c r="F24" s="478">
        <f t="shared" si="6"/>
        <v>11781.158710984015</v>
      </c>
      <c r="G24" s="478">
        <f t="shared" si="7"/>
        <v>0</v>
      </c>
      <c r="H24" s="478">
        <f t="shared" si="8"/>
        <v>0</v>
      </c>
      <c r="I24" s="478">
        <f t="shared" si="9"/>
        <v>0</v>
      </c>
      <c r="J24" s="478">
        <f t="shared" si="10"/>
        <v>543.21329425737531</v>
      </c>
      <c r="K24" s="478">
        <f t="shared" si="11"/>
        <v>0</v>
      </c>
      <c r="L24" s="478">
        <f t="shared" si="12"/>
        <v>0</v>
      </c>
      <c r="M24" s="478">
        <f t="shared" si="13"/>
        <v>0</v>
      </c>
      <c r="N24" s="478">
        <f t="shared" si="14"/>
        <v>0</v>
      </c>
      <c r="O24" s="478">
        <f t="shared" si="15"/>
        <v>0</v>
      </c>
      <c r="P24" s="479">
        <f t="shared" si="16"/>
        <v>0</v>
      </c>
      <c r="Q24" s="477">
        <f t="shared" ca="1" si="17"/>
        <v>34291.144100538011</v>
      </c>
    </row>
    <row r="25" spans="1:17">
      <c r="A25" s="477" t="s">
        <v>635</v>
      </c>
      <c r="B25" s="478">
        <f t="shared" ca="1" si="2"/>
        <v>5900.830363868944</v>
      </c>
      <c r="C25" s="478">
        <f t="shared" ca="1" si="3"/>
        <v>0</v>
      </c>
      <c r="D25" s="478">
        <f t="shared" si="4"/>
        <v>5327.6406456060286</v>
      </c>
      <c r="E25" s="478">
        <f t="shared" si="5"/>
        <v>252.01658907623317</v>
      </c>
      <c r="F25" s="478">
        <f t="shared" si="6"/>
        <v>1272.1981828219205</v>
      </c>
      <c r="G25" s="478">
        <f t="shared" si="7"/>
        <v>0</v>
      </c>
      <c r="H25" s="478">
        <f t="shared" si="8"/>
        <v>0</v>
      </c>
      <c r="I25" s="478">
        <f t="shared" si="9"/>
        <v>0</v>
      </c>
      <c r="J25" s="478">
        <f t="shared" si="10"/>
        <v>15.866606141811634</v>
      </c>
      <c r="K25" s="478">
        <f t="shared" si="11"/>
        <v>0</v>
      </c>
      <c r="L25" s="478">
        <f t="shared" si="12"/>
        <v>0</v>
      </c>
      <c r="M25" s="478">
        <f t="shared" si="13"/>
        <v>0</v>
      </c>
      <c r="N25" s="478">
        <f t="shared" si="14"/>
        <v>0</v>
      </c>
      <c r="O25" s="478">
        <f t="shared" si="15"/>
        <v>0</v>
      </c>
      <c r="P25" s="479">
        <f t="shared" si="16"/>
        <v>0</v>
      </c>
      <c r="Q25" s="477">
        <f t="shared" ca="1" si="17"/>
        <v>12768.552387514937</v>
      </c>
    </row>
    <row r="26" spans="1:17" s="483" customFormat="1">
      <c r="A26" s="481" t="s">
        <v>561</v>
      </c>
      <c r="B26" s="835">
        <f t="shared" ca="1" si="2"/>
        <v>6.2979140604078276</v>
      </c>
      <c r="C26" s="482"/>
      <c r="D26" s="482">
        <f t="shared" si="4"/>
        <v>21.387179002488587</v>
      </c>
      <c r="E26" s="482">
        <f t="shared" si="5"/>
        <v>32.011025880770454</v>
      </c>
      <c r="F26" s="482"/>
      <c r="G26" s="482">
        <f t="shared" si="7"/>
        <v>13920.90876185796</v>
      </c>
      <c r="H26" s="482">
        <f t="shared" si="8"/>
        <v>2970.54983057245</v>
      </c>
      <c r="I26" s="482"/>
      <c r="J26" s="482"/>
      <c r="K26" s="482"/>
      <c r="L26" s="482"/>
      <c r="M26" s="482">
        <f t="shared" si="13"/>
        <v>0</v>
      </c>
      <c r="N26" s="482"/>
      <c r="O26" s="482"/>
      <c r="P26" s="493"/>
      <c r="Q26" s="481">
        <f t="shared" ca="1" si="17"/>
        <v>16951.154711374074</v>
      </c>
    </row>
    <row r="27" spans="1:17">
      <c r="A27" s="477" t="s">
        <v>551</v>
      </c>
      <c r="B27" s="478">
        <f t="shared" ca="1" si="2"/>
        <v>0</v>
      </c>
      <c r="C27" s="478"/>
      <c r="D27" s="482">
        <f t="shared" si="4"/>
        <v>0</v>
      </c>
      <c r="E27" s="478"/>
      <c r="F27" s="478"/>
      <c r="G27" s="478">
        <f t="shared" si="7"/>
        <v>358.39585534617413</v>
      </c>
      <c r="H27" s="478"/>
      <c r="I27" s="478"/>
      <c r="J27" s="478"/>
      <c r="K27" s="478"/>
      <c r="L27" s="478"/>
      <c r="M27" s="478">
        <f t="shared" si="13"/>
        <v>0</v>
      </c>
      <c r="N27" s="478"/>
      <c r="O27" s="478"/>
      <c r="P27" s="479"/>
      <c r="Q27" s="477">
        <f t="shared" ca="1" si="17"/>
        <v>358.39585534617413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16898.307577480744</v>
      </c>
      <c r="C31" s="488">
        <f t="shared" ca="1" si="18"/>
        <v>19609.956302521012</v>
      </c>
      <c r="D31" s="488">
        <f t="shared" ca="1" si="18"/>
        <v>21312.788729874086</v>
      </c>
      <c r="E31" s="488">
        <f t="shared" si="18"/>
        <v>3310.3236045047693</v>
      </c>
      <c r="F31" s="488">
        <f t="shared" ca="1" si="18"/>
        <v>17503.588966999137</v>
      </c>
      <c r="G31" s="488">
        <f t="shared" si="18"/>
        <v>14279.304617204134</v>
      </c>
      <c r="H31" s="488">
        <f t="shared" si="18"/>
        <v>2970.54983057245</v>
      </c>
      <c r="I31" s="488">
        <f t="shared" si="18"/>
        <v>0</v>
      </c>
      <c r="J31" s="488">
        <f t="shared" si="18"/>
        <v>559.1012548847832</v>
      </c>
      <c r="K31" s="488">
        <f t="shared" si="18"/>
        <v>0</v>
      </c>
      <c r="L31" s="488">
        <f t="shared" ca="1" si="18"/>
        <v>0</v>
      </c>
      <c r="M31" s="488">
        <f t="shared" si="18"/>
        <v>0</v>
      </c>
      <c r="N31" s="488">
        <f t="shared" ca="1" si="18"/>
        <v>0</v>
      </c>
      <c r="O31" s="488">
        <f t="shared" si="18"/>
        <v>0</v>
      </c>
      <c r="P31" s="489">
        <f t="shared" si="18"/>
        <v>0</v>
      </c>
      <c r="Q31" s="489">
        <f t="shared" ca="1" si="18"/>
        <v>96443.920884041087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0.20951778603748297</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0.20951778603748297</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0.20951778603748297</v>
      </c>
      <c r="C29" s="529">
        <f ca="1">'EF ele_warmte'!B22</f>
        <v>0.23746760760868027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5966</v>
      </c>
      <c r="C9" s="342">
        <v>6450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5019.54</v>
      </c>
    </row>
    <row r="15" spans="1:6">
      <c r="A15" s="348" t="s">
        <v>184</v>
      </c>
      <c r="B15" s="334">
        <v>18951</v>
      </c>
    </row>
    <row r="16" spans="1:6">
      <c r="A16" s="348" t="s">
        <v>6</v>
      </c>
      <c r="B16" s="334">
        <v>4130</v>
      </c>
    </row>
    <row r="17" spans="1:6">
      <c r="A17" s="348" t="s">
        <v>7</v>
      </c>
      <c r="B17" s="334">
        <v>624</v>
      </c>
    </row>
    <row r="18" spans="1:6">
      <c r="A18" s="348" t="s">
        <v>8</v>
      </c>
      <c r="B18" s="334">
        <v>2653</v>
      </c>
    </row>
    <row r="19" spans="1:6">
      <c r="A19" s="348" t="s">
        <v>9</v>
      </c>
      <c r="B19" s="334">
        <v>2261</v>
      </c>
    </row>
    <row r="20" spans="1:6">
      <c r="A20" s="348" t="s">
        <v>10</v>
      </c>
      <c r="B20" s="334">
        <v>1971</v>
      </c>
    </row>
    <row r="21" spans="1:6">
      <c r="A21" s="348" t="s">
        <v>11</v>
      </c>
      <c r="B21" s="334">
        <v>21173</v>
      </c>
    </row>
    <row r="22" spans="1:6">
      <c r="A22" s="348" t="s">
        <v>12</v>
      </c>
      <c r="B22" s="334">
        <v>64790</v>
      </c>
    </row>
    <row r="23" spans="1:6">
      <c r="A23" s="348" t="s">
        <v>13</v>
      </c>
      <c r="B23" s="334">
        <v>607</v>
      </c>
    </row>
    <row r="24" spans="1:6">
      <c r="A24" s="348" t="s">
        <v>14</v>
      </c>
      <c r="B24" s="334">
        <v>83</v>
      </c>
    </row>
    <row r="25" spans="1:6">
      <c r="A25" s="348" t="s">
        <v>15</v>
      </c>
      <c r="B25" s="334">
        <v>3465</v>
      </c>
    </row>
    <row r="26" spans="1:6">
      <c r="A26" s="348" t="s">
        <v>16</v>
      </c>
      <c r="B26" s="334">
        <v>79</v>
      </c>
    </row>
    <row r="27" spans="1:6">
      <c r="A27" s="348" t="s">
        <v>17</v>
      </c>
      <c r="B27" s="334">
        <v>3507</v>
      </c>
    </row>
    <row r="28" spans="1:6" s="356" customFormat="1">
      <c r="A28" s="355" t="s">
        <v>18</v>
      </c>
      <c r="B28" s="355">
        <v>1559955</v>
      </c>
    </row>
    <row r="29" spans="1:6">
      <c r="A29" s="355" t="s">
        <v>744</v>
      </c>
      <c r="B29" s="355">
        <v>152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191177.35147294201</v>
      </c>
      <c r="E38" s="334">
        <v>5</v>
      </c>
      <c r="F38" s="334">
        <v>1141019.6647500601</v>
      </c>
    </row>
    <row r="39" spans="1:6">
      <c r="A39" s="348" t="s">
        <v>30</v>
      </c>
      <c r="B39" s="348" t="s">
        <v>31</v>
      </c>
      <c r="C39" s="334">
        <v>3748</v>
      </c>
      <c r="D39" s="334">
        <v>73055140.571793497</v>
      </c>
      <c r="E39" s="334">
        <v>5591</v>
      </c>
      <c r="F39" s="334">
        <v>22995349.103923101</v>
      </c>
    </row>
    <row r="40" spans="1:6">
      <c r="A40" s="348" t="s">
        <v>30</v>
      </c>
      <c r="B40" s="348" t="s">
        <v>29</v>
      </c>
      <c r="C40" s="334">
        <v>0</v>
      </c>
      <c r="D40" s="334">
        <v>0</v>
      </c>
      <c r="E40" s="334">
        <v>0</v>
      </c>
      <c r="F40" s="334">
        <v>0</v>
      </c>
    </row>
    <row r="41" spans="1:6">
      <c r="A41" s="348" t="s">
        <v>32</v>
      </c>
      <c r="B41" s="348" t="s">
        <v>33</v>
      </c>
      <c r="C41" s="334">
        <v>55</v>
      </c>
      <c r="D41" s="334">
        <v>1170249.09961424</v>
      </c>
      <c r="E41" s="334">
        <v>118</v>
      </c>
      <c r="F41" s="334">
        <v>1274226.9093210299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110086.08671692001</v>
      </c>
      <c r="E44" s="334">
        <v>21</v>
      </c>
      <c r="F44" s="334">
        <v>1790890.7842361501</v>
      </c>
    </row>
    <row r="45" spans="1:6">
      <c r="A45" s="348" t="s">
        <v>32</v>
      </c>
      <c r="B45" s="348" t="s">
        <v>37</v>
      </c>
      <c r="C45" s="334">
        <v>0</v>
      </c>
      <c r="D45" s="334">
        <v>0</v>
      </c>
      <c r="E45" s="334">
        <v>3</v>
      </c>
      <c r="F45" s="334">
        <v>1342508.31548147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51</v>
      </c>
      <c r="D48" s="334">
        <v>18612514.639961801</v>
      </c>
      <c r="E48" s="334">
        <v>68</v>
      </c>
      <c r="F48" s="334">
        <v>11903631.8263693</v>
      </c>
    </row>
    <row r="49" spans="1:6">
      <c r="A49" s="348" t="s">
        <v>32</v>
      </c>
      <c r="B49" s="348" t="s">
        <v>40</v>
      </c>
      <c r="C49" s="334">
        <v>0</v>
      </c>
      <c r="D49" s="334">
        <v>0</v>
      </c>
      <c r="E49" s="334">
        <v>0</v>
      </c>
      <c r="F49" s="334">
        <v>0</v>
      </c>
    </row>
    <row r="50" spans="1:6">
      <c r="A50" s="348" t="s">
        <v>32</v>
      </c>
      <c r="B50" s="348" t="s">
        <v>41</v>
      </c>
      <c r="C50" s="334">
        <v>3</v>
      </c>
      <c r="D50" s="334">
        <v>9347126.4947868604</v>
      </c>
      <c r="E50" s="334">
        <v>16</v>
      </c>
      <c r="F50" s="334">
        <v>11852605.841603599</v>
      </c>
    </row>
    <row r="51" spans="1:6">
      <c r="A51" s="348" t="s">
        <v>42</v>
      </c>
      <c r="B51" s="348" t="s">
        <v>43</v>
      </c>
      <c r="C51" s="334">
        <v>14</v>
      </c>
      <c r="D51" s="334">
        <v>500245.06715067499</v>
      </c>
      <c r="E51" s="334">
        <v>237</v>
      </c>
      <c r="F51" s="334">
        <v>10255479.526605699</v>
      </c>
    </row>
    <row r="52" spans="1:6">
      <c r="A52" s="348" t="s">
        <v>42</v>
      </c>
      <c r="B52" s="348" t="s">
        <v>29</v>
      </c>
      <c r="C52" s="334">
        <v>23</v>
      </c>
      <c r="D52" s="334">
        <v>181004683.540553</v>
      </c>
      <c r="E52" s="334">
        <v>15</v>
      </c>
      <c r="F52" s="334">
        <v>336158.080411695</v>
      </c>
    </row>
    <row r="53" spans="1:6">
      <c r="A53" s="348" t="s">
        <v>44</v>
      </c>
      <c r="B53" s="348" t="s">
        <v>45</v>
      </c>
      <c r="C53" s="334">
        <v>88</v>
      </c>
      <c r="D53" s="334">
        <v>1827683.5934458401</v>
      </c>
      <c r="E53" s="334">
        <v>211</v>
      </c>
      <c r="F53" s="334">
        <v>870315.83249094698</v>
      </c>
    </row>
    <row r="54" spans="1:6">
      <c r="A54" s="348" t="s">
        <v>46</v>
      </c>
      <c r="B54" s="348" t="s">
        <v>47</v>
      </c>
      <c r="C54" s="334">
        <v>0</v>
      </c>
      <c r="D54" s="334">
        <v>0</v>
      </c>
      <c r="E54" s="334">
        <v>1</v>
      </c>
      <c r="F54" s="334">
        <v>1022618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4412100.13278946</v>
      </c>
      <c r="E57" s="334">
        <v>125</v>
      </c>
      <c r="F57" s="334">
        <v>2200889.2530065002</v>
      </c>
    </row>
    <row r="58" spans="1:6">
      <c r="A58" s="348" t="s">
        <v>49</v>
      </c>
      <c r="B58" s="348" t="s">
        <v>51</v>
      </c>
      <c r="C58" s="334">
        <v>3</v>
      </c>
      <c r="D58" s="334">
        <v>65639.299820501095</v>
      </c>
      <c r="E58" s="334">
        <v>45</v>
      </c>
      <c r="F58" s="334">
        <v>2499266.88841489</v>
      </c>
    </row>
    <row r="59" spans="1:6">
      <c r="A59" s="348" t="s">
        <v>49</v>
      </c>
      <c r="B59" s="348" t="s">
        <v>52</v>
      </c>
      <c r="C59" s="334">
        <v>24</v>
      </c>
      <c r="D59" s="334">
        <v>578762.83464069595</v>
      </c>
      <c r="E59" s="334">
        <v>89</v>
      </c>
      <c r="F59" s="334">
        <v>1596243.8184376999</v>
      </c>
    </row>
    <row r="60" spans="1:6">
      <c r="A60" s="348" t="s">
        <v>49</v>
      </c>
      <c r="B60" s="348" t="s">
        <v>53</v>
      </c>
      <c r="C60" s="334">
        <v>35</v>
      </c>
      <c r="D60" s="334">
        <v>1662885.65960621</v>
      </c>
      <c r="E60" s="334">
        <v>46</v>
      </c>
      <c r="F60" s="334">
        <v>1057724.6369715401</v>
      </c>
    </row>
    <row r="61" spans="1:6">
      <c r="A61" s="348" t="s">
        <v>49</v>
      </c>
      <c r="B61" s="348" t="s">
        <v>54</v>
      </c>
      <c r="C61" s="334">
        <v>37</v>
      </c>
      <c r="D61" s="334">
        <v>576904.614476652</v>
      </c>
      <c r="E61" s="334">
        <v>112</v>
      </c>
      <c r="F61" s="334">
        <v>1321322.78638359</v>
      </c>
    </row>
    <row r="62" spans="1:6">
      <c r="A62" s="348" t="s">
        <v>49</v>
      </c>
      <c r="B62" s="348" t="s">
        <v>55</v>
      </c>
      <c r="C62" s="334">
        <v>0</v>
      </c>
      <c r="D62" s="334">
        <v>0</v>
      </c>
      <c r="E62" s="334">
        <v>0</v>
      </c>
      <c r="F62" s="334">
        <v>0</v>
      </c>
    </row>
    <row r="63" spans="1:6">
      <c r="A63" s="348" t="s">
        <v>49</v>
      </c>
      <c r="B63" s="348" t="s">
        <v>29</v>
      </c>
      <c r="C63" s="334">
        <v>166</v>
      </c>
      <c r="D63" s="334">
        <v>6895561.1682994599</v>
      </c>
      <c r="E63" s="334">
        <v>222</v>
      </c>
      <c r="F63" s="334">
        <v>5182984.26739565</v>
      </c>
    </row>
    <row r="64" spans="1:6">
      <c r="A64" s="348" t="s">
        <v>56</v>
      </c>
      <c r="B64" s="348" t="s">
        <v>57</v>
      </c>
      <c r="C64" s="334">
        <v>0</v>
      </c>
      <c r="D64" s="334">
        <v>0</v>
      </c>
      <c r="E64" s="334">
        <v>0</v>
      </c>
      <c r="F64" s="334">
        <v>0</v>
      </c>
    </row>
    <row r="65" spans="1:6">
      <c r="A65" s="348" t="s">
        <v>56</v>
      </c>
      <c r="B65" s="348" t="s">
        <v>29</v>
      </c>
      <c r="C65" s="334">
        <v>3</v>
      </c>
      <c r="D65" s="334">
        <v>70187.314027659595</v>
      </c>
      <c r="E65" s="334">
        <v>3</v>
      </c>
      <c r="F65" s="334">
        <v>224290.96944812499</v>
      </c>
    </row>
    <row r="66" spans="1:6">
      <c r="A66" s="348" t="s">
        <v>56</v>
      </c>
      <c r="B66" s="348" t="s">
        <v>58</v>
      </c>
      <c r="C66" s="334">
        <v>0</v>
      </c>
      <c r="D66" s="334">
        <v>0</v>
      </c>
      <c r="E66" s="334">
        <v>6</v>
      </c>
      <c r="F66" s="334">
        <v>19604.851938240401</v>
      </c>
    </row>
    <row r="67" spans="1:6">
      <c r="A67" s="355" t="s">
        <v>56</v>
      </c>
      <c r="B67" s="355" t="s">
        <v>59</v>
      </c>
      <c r="C67" s="334">
        <v>0</v>
      </c>
      <c r="D67" s="334">
        <v>0</v>
      </c>
      <c r="E67" s="334">
        <v>0</v>
      </c>
      <c r="F67" s="334">
        <v>0</v>
      </c>
    </row>
    <row r="68" spans="1:6">
      <c r="A68" s="341" t="s">
        <v>56</v>
      </c>
      <c r="B68" s="341" t="s">
        <v>60</v>
      </c>
      <c r="C68" s="334">
        <v>3</v>
      </c>
      <c r="D68" s="334">
        <v>63480.647780667503</v>
      </c>
      <c r="E68" s="334">
        <v>9</v>
      </c>
      <c r="F68" s="334">
        <v>122488.046611699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59287555</v>
      </c>
      <c r="E73" s="476">
        <v>60222416.894603275</v>
      </c>
    </row>
    <row r="74" spans="1:6">
      <c r="A74" s="348" t="s">
        <v>64</v>
      </c>
      <c r="B74" s="348" t="s">
        <v>657</v>
      </c>
      <c r="C74" s="1272" t="s">
        <v>659</v>
      </c>
      <c r="D74" s="476">
        <v>5543547.6255409382</v>
      </c>
      <c r="E74" s="476">
        <v>5703156.3134805821</v>
      </c>
    </row>
    <row r="75" spans="1:6">
      <c r="A75" s="348" t="s">
        <v>65</v>
      </c>
      <c r="B75" s="348" t="s">
        <v>656</v>
      </c>
      <c r="C75" s="1272" t="s">
        <v>660</v>
      </c>
      <c r="D75" s="476">
        <v>17120267</v>
      </c>
      <c r="E75" s="476">
        <v>17384013.054369327</v>
      </c>
    </row>
    <row r="76" spans="1:6">
      <c r="A76" s="348" t="s">
        <v>65</v>
      </c>
      <c r="B76" s="348" t="s">
        <v>657</v>
      </c>
      <c r="C76" s="1272" t="s">
        <v>661</v>
      </c>
      <c r="D76" s="476">
        <v>606597.62554093788</v>
      </c>
      <c r="E76" s="476">
        <v>626005.05997915089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384732.7489181243</v>
      </c>
      <c r="C83" s="476">
        <v>386426.0491101821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3991.3729679518956</v>
      </c>
    </row>
    <row r="92" spans="1:6">
      <c r="A92" s="341" t="s">
        <v>69</v>
      </c>
      <c r="B92" s="342">
        <v>4506.3626777079899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54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3</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80653.332096863684</v>
      </c>
      <c r="C3" s="43" t="s">
        <v>170</v>
      </c>
      <c r="D3" s="43"/>
      <c r="E3" s="154"/>
      <c r="F3" s="43"/>
      <c r="G3" s="43"/>
      <c r="H3" s="43"/>
      <c r="I3" s="43"/>
      <c r="J3" s="43"/>
      <c r="K3" s="96"/>
    </row>
    <row r="4" spans="1:11">
      <c r="A4" s="383" t="s">
        <v>171</v>
      </c>
      <c r="B4" s="49">
        <f>IF(ISERROR('SEAP template'!B69),0,'SEAP template'!B69)</f>
        <v>66303.385645659888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13726.969411764707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0.20951778603748297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19609.956302521012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1022.6180000000001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1022.6180000000001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0.20951778603748297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214.25665932207878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22995.349103923101</v>
      </c>
      <c r="C5" s="17">
        <f>IF(ISERROR('Eigen informatie GS &amp; warmtenet'!B57),0,'Eigen informatie GS &amp; warmtenet'!B57)</f>
        <v>0</v>
      </c>
      <c r="D5" s="30">
        <f>(SUM(HH_hh_gas_kWh,HH_rest_gas_kWh)/1000)*0.902</f>
        <v>65895.736795757737</v>
      </c>
      <c r="E5" s="17">
        <f>B46*B57</f>
        <v>12880.187458586022</v>
      </c>
      <c r="F5" s="17">
        <f>B51*B62</f>
        <v>14184.192250874417</v>
      </c>
      <c r="G5" s="18"/>
      <c r="H5" s="17"/>
      <c r="I5" s="17"/>
      <c r="J5" s="17">
        <f>B50*B61+C50*C61</f>
        <v>0</v>
      </c>
      <c r="K5" s="17"/>
      <c r="L5" s="17"/>
      <c r="M5" s="17"/>
      <c r="N5" s="17">
        <f>B48*B59+C48*C59</f>
        <v>35803.739150954345</v>
      </c>
      <c r="O5" s="17">
        <f>B69*B70*B71</f>
        <v>304.85000000000002</v>
      </c>
      <c r="P5" s="17">
        <f>B77*B78*B79/1000-B77*B78*B79/1000/B80</f>
        <v>1163.0666666666666</v>
      </c>
    </row>
    <row r="6" spans="1:16">
      <c r="A6" s="16" t="s">
        <v>621</v>
      </c>
      <c r="B6" s="843">
        <f>kWh_PV_kleiner_dan_10kW</f>
        <v>3991.3729679518956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26986.722071874996</v>
      </c>
      <c r="C8" s="21">
        <f>C5</f>
        <v>0</v>
      </c>
      <c r="D8" s="21">
        <f>D5</f>
        <v>65895.736795757737</v>
      </c>
      <c r="E8" s="21">
        <f>E5</f>
        <v>12880.187458586022</v>
      </c>
      <c r="F8" s="21">
        <f>F5</f>
        <v>14184.192250874417</v>
      </c>
      <c r="G8" s="21"/>
      <c r="H8" s="21"/>
      <c r="I8" s="21"/>
      <c r="J8" s="21">
        <f>J5</f>
        <v>0</v>
      </c>
      <c r="K8" s="21"/>
      <c r="L8" s="21">
        <f>L5</f>
        <v>0</v>
      </c>
      <c r="M8" s="21">
        <f>M5</f>
        <v>0</v>
      </c>
      <c r="N8" s="21">
        <f>N5</f>
        <v>35803.739150954345</v>
      </c>
      <c r="O8" s="21">
        <f>O5</f>
        <v>304.85000000000002</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0.20951778603748297</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5654.1982609081242</v>
      </c>
      <c r="C12" s="23">
        <f ca="1">C10*C8</f>
        <v>0</v>
      </c>
      <c r="D12" s="23">
        <f>D8*D10</f>
        <v>13310.938832743064</v>
      </c>
      <c r="E12" s="23">
        <f>E10*E8</f>
        <v>2923.8025530990271</v>
      </c>
      <c r="F12" s="23">
        <f>F10*F8</f>
        <v>3787.1793309834698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5966</v>
      </c>
      <c r="C28" s="36"/>
      <c r="D28" s="228"/>
    </row>
    <row r="29" spans="1:7" s="15" customFormat="1">
      <c r="A29" s="230" t="s">
        <v>795</v>
      </c>
      <c r="B29" s="37">
        <f>SUM(HH_hh_gas_aantal,HH_rest_gas_aantal)</f>
        <v>3748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3748</v>
      </c>
      <c r="C32" s="167">
        <f>IF(ISERROR(B32/SUM($B$32,$B$34,$B$35,$B$36,$B$38,$B$39)*100),0,B32/SUM($B$32,$B$34,$B$35,$B$36,$B$38,$B$39)*100)</f>
        <v>63.47163420829807</v>
      </c>
      <c r="D32" s="233"/>
      <c r="G32" s="15"/>
    </row>
    <row r="33" spans="1:7">
      <c r="A33" s="171" t="s">
        <v>72</v>
      </c>
      <c r="B33" s="34" t="s">
        <v>111</v>
      </c>
      <c r="C33" s="167"/>
      <c r="D33" s="233"/>
      <c r="G33" s="15"/>
    </row>
    <row r="34" spans="1:7">
      <c r="A34" s="171" t="s">
        <v>73</v>
      </c>
      <c r="B34" s="33">
        <f>IF((($B$28-$B$32-$B$39-$B$77-$B$38)*C20/100)&lt;0,0,($B$28-$B$32-$B$39-$B$77-$B$38)*C20/100)</f>
        <v>608.31829268292688</v>
      </c>
      <c r="C34" s="167">
        <f>IF(ISERROR(B34/SUM($B$32,$B$34,$B$35,$B$36,$B$38,$B$39)*100),0,B34/SUM($B$32,$B$34,$B$35,$B$36,$B$38,$B$39)*100)</f>
        <v>10.301749241031786</v>
      </c>
      <c r="D34" s="233"/>
      <c r="G34" s="15"/>
    </row>
    <row r="35" spans="1:7">
      <c r="A35" s="171" t="s">
        <v>74</v>
      </c>
      <c r="B35" s="33">
        <f>IF((($B$28-$B$32-$B$39-$B$77-$B$38)*C21/100)&lt;0,0,($B$28-$B$32-$B$39-$B$77-$B$38)*C21/100)</f>
        <v>504.59581881533103</v>
      </c>
      <c r="C35" s="167">
        <f>IF(ISERROR(B35/SUM($B$32,$B$34,$B$35,$B$36,$B$38,$B$39)*100),0,B35/SUM($B$32,$B$34,$B$35,$B$36,$B$38,$B$39)*100)</f>
        <v>8.5452297851876562</v>
      </c>
      <c r="D35" s="233"/>
      <c r="G35" s="15"/>
    </row>
    <row r="36" spans="1:7">
      <c r="A36" s="171" t="s">
        <v>75</v>
      </c>
      <c r="B36" s="33">
        <f>IF((($B$28-$B$32-$B$39-$B$77-$B$38)*C22/100)&lt;0,0,($B$28-$B$32-$B$39-$B$77-$B$38)*C22/100)</f>
        <v>496.18588850174223</v>
      </c>
      <c r="C36" s="167">
        <f>IF(ISERROR(B36/SUM($B$32,$B$34,$B$35,$B$36,$B$38,$B$39)*100),0,B36/SUM($B$32,$B$34,$B$35,$B$36,$B$38,$B$39)*100)</f>
        <v>8.4028092887678625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547.89999999999986</v>
      </c>
      <c r="C39" s="167">
        <f>IF(ISERROR(B39/SUM($B$32,$B$34,$B$35,$B$36,$B$38,$B$39)*100),0,B39/SUM($B$32,$B$34,$B$35,$B$36,$B$38,$B$39)*100)</f>
        <v>9.2785774767146467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3748</v>
      </c>
      <c r="C44" s="34" t="s">
        <v>111</v>
      </c>
      <c r="D44" s="174"/>
    </row>
    <row r="45" spans="1:7">
      <c r="A45" s="171" t="s">
        <v>72</v>
      </c>
      <c r="B45" s="33" t="str">
        <f t="shared" si="0"/>
        <v>-</v>
      </c>
      <c r="C45" s="34" t="s">
        <v>111</v>
      </c>
      <c r="D45" s="174"/>
    </row>
    <row r="46" spans="1:7">
      <c r="A46" s="171" t="s">
        <v>73</v>
      </c>
      <c r="B46" s="33">
        <f t="shared" si="0"/>
        <v>608.31829268292688</v>
      </c>
      <c r="C46" s="34" t="s">
        <v>111</v>
      </c>
      <c r="D46" s="174"/>
    </row>
    <row r="47" spans="1:7">
      <c r="A47" s="171" t="s">
        <v>74</v>
      </c>
      <c r="B47" s="33">
        <f t="shared" si="0"/>
        <v>504.59581881533103</v>
      </c>
      <c r="C47" s="34" t="s">
        <v>111</v>
      </c>
      <c r="D47" s="174"/>
    </row>
    <row r="48" spans="1:7">
      <c r="A48" s="171" t="s">
        <v>75</v>
      </c>
      <c r="B48" s="33">
        <f t="shared" si="0"/>
        <v>496.18588850174223</v>
      </c>
      <c r="C48" s="33">
        <f>B48*10</f>
        <v>4961.8588850174219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547.89999999999986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13858.431650609871</v>
      </c>
      <c r="C5" s="17">
        <f>IF(ISERROR('Eigen informatie GS &amp; warmtenet'!B58),0,'Eigen informatie GS &amp; warmtenet'!B58)</f>
        <v>0</v>
      </c>
      <c r="D5" s="30">
        <f>SUM(D6:D12)</f>
        <v>12801.052046088947</v>
      </c>
      <c r="E5" s="17">
        <f>SUM(E6:E12)</f>
        <v>140.19235603207892</v>
      </c>
      <c r="F5" s="17">
        <f>SUM(F6:F12)</f>
        <v>2483.3436037817701</v>
      </c>
      <c r="G5" s="18"/>
      <c r="H5" s="17"/>
      <c r="I5" s="17"/>
      <c r="J5" s="17">
        <f>SUM(J6:J12)</f>
        <v>6.032340563908957E-2</v>
      </c>
      <c r="K5" s="17"/>
      <c r="L5" s="17"/>
      <c r="M5" s="17"/>
      <c r="N5" s="17">
        <f>SUM(N6:N12)</f>
        <v>2413.2508462623255</v>
      </c>
      <c r="O5" s="17">
        <f>B38*B39*B40</f>
        <v>4.6900000000000004</v>
      </c>
      <c r="P5" s="17">
        <f>B46*B47*B48/1000-B46*B47*B48/1000/B49</f>
        <v>0</v>
      </c>
      <c r="R5" s="32"/>
    </row>
    <row r="6" spans="1:18">
      <c r="A6" s="32" t="s">
        <v>54</v>
      </c>
      <c r="B6" s="37">
        <f>B26</f>
        <v>1321.32278638359</v>
      </c>
      <c r="C6" s="33"/>
      <c r="D6" s="37">
        <f>IF(ISERROR(TER_kantoor_gas_kWh/1000),0,TER_kantoor_gas_kWh/1000)*0.902</f>
        <v>520.36796225794012</v>
      </c>
      <c r="E6" s="33">
        <f>$C$26*'E Balans VL '!I12/100/3.6*1000000</f>
        <v>8.2816117599784338E-3</v>
      </c>
      <c r="F6" s="33">
        <f>$C$26*('E Balans VL '!L12+'E Balans VL '!N12)/100/3.6*1000000</f>
        <v>198.55789351348068</v>
      </c>
      <c r="G6" s="34"/>
      <c r="H6" s="33"/>
      <c r="I6" s="33"/>
      <c r="J6" s="33">
        <f>$C$26*('E Balans VL '!D12+'E Balans VL '!E12)/100/3.6*1000000</f>
        <v>0</v>
      </c>
      <c r="K6" s="33"/>
      <c r="L6" s="33"/>
      <c r="M6" s="33"/>
      <c r="N6" s="33">
        <f>$C$26*'E Balans VL '!Y12/100/3.6*1000000</f>
        <v>1.2636493375731064</v>
      </c>
      <c r="O6" s="33"/>
      <c r="P6" s="33"/>
      <c r="R6" s="32"/>
    </row>
    <row r="7" spans="1:18">
      <c r="A7" s="32" t="s">
        <v>53</v>
      </c>
      <c r="B7" s="37">
        <f t="shared" ref="B7:B12" si="0">B27</f>
        <v>1057.7246369715401</v>
      </c>
      <c r="C7" s="33"/>
      <c r="D7" s="37">
        <f>IF(ISERROR(TER_horeca_gas_kWh/1000),0,TER_horeca_gas_kWh/1000)*0.902</f>
        <v>1499.9228649648014</v>
      </c>
      <c r="E7" s="33">
        <f>$C$27*'E Balans VL '!I9/100/3.6*1000000</f>
        <v>15.146440618140993</v>
      </c>
      <c r="F7" s="33">
        <f>$C$27*('E Balans VL '!L9+'E Balans VL '!N9)/100/3.6*1000000</f>
        <v>133.94282414310302</v>
      </c>
      <c r="G7" s="34"/>
      <c r="H7" s="33"/>
      <c r="I7" s="33"/>
      <c r="J7" s="33">
        <f>$C$27*('E Balans VL '!D9+'E Balans VL '!E9)/100/3.6*1000000</f>
        <v>0</v>
      </c>
      <c r="K7" s="33"/>
      <c r="L7" s="33"/>
      <c r="M7" s="33"/>
      <c r="N7" s="33">
        <f>$C$27*'E Balans VL '!Y9/100/3.6*1000000</f>
        <v>0.30407251230292448</v>
      </c>
      <c r="O7" s="33"/>
      <c r="P7" s="33"/>
      <c r="R7" s="32"/>
    </row>
    <row r="8" spans="1:18">
      <c r="A8" s="6" t="s">
        <v>52</v>
      </c>
      <c r="B8" s="37">
        <f t="shared" si="0"/>
        <v>1596.2438184376999</v>
      </c>
      <c r="C8" s="33"/>
      <c r="D8" s="37">
        <f>IF(ISERROR(TER_handel_gas_kWh/1000),0,TER_handel_gas_kWh/1000)*0.902</f>
        <v>522.04407684590774</v>
      </c>
      <c r="E8" s="33">
        <f>$C$28*'E Balans VL '!I13/100/3.6*1000000</f>
        <v>57.895566454766424</v>
      </c>
      <c r="F8" s="33">
        <f>$C$28*('E Balans VL '!L13+'E Balans VL '!N13)/100/3.6*1000000</f>
        <v>307.45272242737389</v>
      </c>
      <c r="G8" s="34"/>
      <c r="H8" s="33"/>
      <c r="I8" s="33"/>
      <c r="J8" s="33">
        <f>$C$28*('E Balans VL '!D13+'E Balans VL '!E13)/100/3.6*1000000</f>
        <v>0</v>
      </c>
      <c r="K8" s="33"/>
      <c r="L8" s="33"/>
      <c r="M8" s="33"/>
      <c r="N8" s="33">
        <f>$C$28*'E Balans VL '!Y13/100/3.6*1000000</f>
        <v>2.2111649678586698</v>
      </c>
      <c r="O8" s="33"/>
      <c r="P8" s="33"/>
      <c r="R8" s="32"/>
    </row>
    <row r="9" spans="1:18">
      <c r="A9" s="32" t="s">
        <v>51</v>
      </c>
      <c r="B9" s="37">
        <f t="shared" si="0"/>
        <v>2499.2668884148902</v>
      </c>
      <c r="C9" s="33"/>
      <c r="D9" s="37">
        <f>IF(ISERROR(TER_gezond_gas_kWh/1000),0,TER_gezond_gas_kWh/1000)*0.902</f>
        <v>59.206648438091989</v>
      </c>
      <c r="E9" s="33">
        <f>$C$29*'E Balans VL '!I10/100/3.6*1000000</f>
        <v>0.15647878301735371</v>
      </c>
      <c r="F9" s="33">
        <f>$C$29*('E Balans VL '!L10+'E Balans VL '!N10)/100/3.6*1000000</f>
        <v>371.27370581701263</v>
      </c>
      <c r="G9" s="34"/>
      <c r="H9" s="33"/>
      <c r="I9" s="33"/>
      <c r="J9" s="33">
        <f>$C$29*('E Balans VL '!D10+'E Balans VL '!E10)/100/3.6*1000000</f>
        <v>0</v>
      </c>
      <c r="K9" s="33"/>
      <c r="L9" s="33"/>
      <c r="M9" s="33"/>
      <c r="N9" s="33">
        <f>$C$29*'E Balans VL '!Y10/100/3.6*1000000</f>
        <v>38.658901388641965</v>
      </c>
      <c r="O9" s="33"/>
      <c r="P9" s="33"/>
      <c r="R9" s="32"/>
    </row>
    <row r="10" spans="1:18">
      <c r="A10" s="32" t="s">
        <v>50</v>
      </c>
      <c r="B10" s="37">
        <f t="shared" si="0"/>
        <v>2200.8892530065</v>
      </c>
      <c r="C10" s="33"/>
      <c r="D10" s="37">
        <f>IF(ISERROR(TER_ander_gas_kWh/1000),0,TER_ander_gas_kWh/1000)*0.902</f>
        <v>3979.7143197760929</v>
      </c>
      <c r="E10" s="33">
        <f>$C$30*'E Balans VL '!I14/100/3.6*1000000</f>
        <v>2.6233813430907684</v>
      </c>
      <c r="F10" s="33">
        <f>$C$30*('E Balans VL '!L14+'E Balans VL '!N14)/100/3.6*1000000</f>
        <v>575.85047243772567</v>
      </c>
      <c r="G10" s="34"/>
      <c r="H10" s="33"/>
      <c r="I10" s="33"/>
      <c r="J10" s="33">
        <f>$C$30*('E Balans VL '!D14+'E Balans VL '!E14)/100/3.6*1000000</f>
        <v>4.7772678435114554E-2</v>
      </c>
      <c r="K10" s="33"/>
      <c r="L10" s="33"/>
      <c r="M10" s="33"/>
      <c r="N10" s="33">
        <f>$C$30*'E Balans VL '!Y14/100/3.6*1000000</f>
        <v>1868.9412986511622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5182.98426739565</v>
      </c>
      <c r="C12" s="33"/>
      <c r="D12" s="37">
        <f>IF(ISERROR(TER_rest_gas_kWh/1000),0,TER_rest_gas_kWh/1000)*0.902</f>
        <v>6219.7961738061131</v>
      </c>
      <c r="E12" s="33">
        <f>$C$32*'E Balans VL '!I8/100/3.6*1000000</f>
        <v>64.362207221303422</v>
      </c>
      <c r="F12" s="33">
        <f>$C$32*('E Balans VL '!L8+'E Balans VL '!N8)/100/3.6*1000000</f>
        <v>896.26598544307433</v>
      </c>
      <c r="G12" s="34"/>
      <c r="H12" s="33"/>
      <c r="I12" s="33"/>
      <c r="J12" s="33">
        <f>$C$32*('E Balans VL '!D8+'E Balans VL '!E8)/100/3.6*1000000</f>
        <v>1.2550727203975015E-2</v>
      </c>
      <c r="K12" s="33"/>
      <c r="L12" s="33"/>
      <c r="M12" s="33"/>
      <c r="N12" s="33">
        <f>$C$32*'E Balans VL '!Y8/100/3.6*1000000</f>
        <v>501.87175940478687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13858.431650609871</v>
      </c>
      <c r="C16" s="21">
        <f t="shared" ca="1" si="1"/>
        <v>0</v>
      </c>
      <c r="D16" s="21">
        <f t="shared" ca="1" si="1"/>
        <v>12801.052046088947</v>
      </c>
      <c r="E16" s="21">
        <f t="shared" si="1"/>
        <v>140.19235603207892</v>
      </c>
      <c r="F16" s="21">
        <f t="shared" ca="1" si="1"/>
        <v>2483.3436037817701</v>
      </c>
      <c r="G16" s="21">
        <f t="shared" si="1"/>
        <v>0</v>
      </c>
      <c r="H16" s="21">
        <f t="shared" si="1"/>
        <v>0</v>
      </c>
      <c r="I16" s="21">
        <f t="shared" si="1"/>
        <v>0</v>
      </c>
      <c r="J16" s="21">
        <f t="shared" si="1"/>
        <v>6.032340563908957E-2</v>
      </c>
      <c r="K16" s="21">
        <f t="shared" si="1"/>
        <v>0</v>
      </c>
      <c r="L16" s="21">
        <f t="shared" ca="1" si="1"/>
        <v>0</v>
      </c>
      <c r="M16" s="21">
        <f t="shared" si="1"/>
        <v>0</v>
      </c>
      <c r="N16" s="21">
        <f t="shared" ca="1" si="1"/>
        <v>2413.2508462623255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0.20951778603748297</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2903.587917387561</v>
      </c>
      <c r="C20" s="23">
        <f t="shared" ref="C20:P20" ca="1" si="2">C16*C18</f>
        <v>0</v>
      </c>
      <c r="D20" s="23">
        <f t="shared" ca="1" si="2"/>
        <v>2585.8125133099675</v>
      </c>
      <c r="E20" s="23">
        <f t="shared" si="2"/>
        <v>31.823664819281916</v>
      </c>
      <c r="F20" s="23">
        <f t="shared" ca="1" si="2"/>
        <v>663.05274220973263</v>
      </c>
      <c r="G20" s="23">
        <f t="shared" si="2"/>
        <v>0</v>
      </c>
      <c r="H20" s="23">
        <f t="shared" si="2"/>
        <v>0</v>
      </c>
      <c r="I20" s="23">
        <f t="shared" si="2"/>
        <v>0</v>
      </c>
      <c r="J20" s="23">
        <f t="shared" si="2"/>
        <v>2.1354485596237708E-2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1321.32278638359</v>
      </c>
      <c r="C26" s="39">
        <f>IF(ISERROR(B26*3.6/1000000/'E Balans VL '!Z12*100),0,B26*3.6/1000000/'E Balans VL '!Z12*100)</f>
        <v>2.7930670559781587E-2</v>
      </c>
      <c r="D26" s="237" t="s">
        <v>754</v>
      </c>
      <c r="F26" s="6"/>
    </row>
    <row r="27" spans="1:18">
      <c r="A27" s="231" t="s">
        <v>53</v>
      </c>
      <c r="B27" s="33">
        <f>IF(ISERROR(TER_horeca_ele_kWh/1000),0,TER_horeca_ele_kWh/1000)</f>
        <v>1057.7246369715401</v>
      </c>
      <c r="C27" s="39">
        <f>IF(ISERROR(B27*3.6/1000000/'E Balans VL '!Z9*100),0,B27*3.6/1000000/'E Balans VL '!Z9*100)</f>
        <v>8.3380038898367939E-2</v>
      </c>
      <c r="D27" s="237" t="s">
        <v>754</v>
      </c>
      <c r="F27" s="6"/>
    </row>
    <row r="28" spans="1:18">
      <c r="A28" s="171" t="s">
        <v>52</v>
      </c>
      <c r="B28" s="33">
        <f>IF(ISERROR(TER_handel_ele_kWh/1000),0,TER_handel_ele_kWh/1000)</f>
        <v>1596.2438184376999</v>
      </c>
      <c r="C28" s="39">
        <f>IF(ISERROR(B28*3.6/1000000/'E Balans VL '!Z13*100),0,B28*3.6/1000000/'E Balans VL '!Z13*100)</f>
        <v>4.6329445158799734E-2</v>
      </c>
      <c r="D28" s="237" t="s">
        <v>754</v>
      </c>
      <c r="F28" s="6"/>
    </row>
    <row r="29" spans="1:18">
      <c r="A29" s="231" t="s">
        <v>51</v>
      </c>
      <c r="B29" s="33">
        <f>IF(ISERROR(TER_gezond_ele_kWh/1000),0,TER_gezond_ele_kWh/1000)</f>
        <v>2499.2668884148902</v>
      </c>
      <c r="C29" s="39">
        <f>IF(ISERROR(B29*3.6/1000000/'E Balans VL '!Z10*100),0,B29*3.6/1000000/'E Balans VL '!Z10*100)</f>
        <v>0.26321384239566786</v>
      </c>
      <c r="D29" s="237" t="s">
        <v>754</v>
      </c>
      <c r="F29" s="6"/>
    </row>
    <row r="30" spans="1:18">
      <c r="A30" s="231" t="s">
        <v>50</v>
      </c>
      <c r="B30" s="33">
        <f>IF(ISERROR(TER_ander_ele_kWh/1000),0,TER_ander_ele_kWh/1000)</f>
        <v>2200.8892530065</v>
      </c>
      <c r="C30" s="39">
        <f>IF(ISERROR(B30*3.6/1000000/'E Balans VL '!Z14*100),0,B30*3.6/1000000/'E Balans VL '!Z14*100)</f>
        <v>0.16233806933252734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5182.98426739565</v>
      </c>
      <c r="C32" s="39">
        <f>IF(ISERROR(B32*3.6/1000000/'E Balans VL '!Z8*100),0,B32*3.6/1000000/'E Balans VL '!Z8*100)</f>
        <v>4.2649080808392137E-2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28163.863677011548</v>
      </c>
      <c r="C5" s="17">
        <f>IF(ISERROR('Eigen informatie GS &amp; warmtenet'!B59),0,'Eigen informatie GS &amp; warmtenet'!B59)</f>
        <v>0</v>
      </c>
      <c r="D5" s="30">
        <f>SUM(D6:D15)</f>
        <v>26374.458641614001</v>
      </c>
      <c r="E5" s="17">
        <f>SUM(E6:E15)</f>
        <v>1110.2052382212914</v>
      </c>
      <c r="F5" s="17">
        <f>SUM(F6:F15)</f>
        <v>4764.7872015802259</v>
      </c>
      <c r="G5" s="18"/>
      <c r="H5" s="17"/>
      <c r="I5" s="17"/>
      <c r="J5" s="17">
        <f>SUM(J6:J15)</f>
        <v>44.820921304552641</v>
      </c>
      <c r="K5" s="17"/>
      <c r="L5" s="17"/>
      <c r="M5" s="17"/>
      <c r="N5" s="17">
        <f>SUM(N6:N15)</f>
        <v>4228.5897139552517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1790.89078423615</v>
      </c>
      <c r="C8" s="33"/>
      <c r="D8" s="37">
        <f>IF( ISERROR(IND_metaal_Gas_kWH/1000),0,IND_metaal_Gas_kWH/1000)*0.902</f>
        <v>99.297650218661843</v>
      </c>
      <c r="E8" s="33">
        <f>C30*'E Balans VL '!I18/100/3.6*1000000</f>
        <v>16.465511102282882</v>
      </c>
      <c r="F8" s="33">
        <f>C30*'E Balans VL '!L18/100/3.6*1000000+C30*'E Balans VL '!N18/100/3.6*1000000</f>
        <v>167.92593077164909</v>
      </c>
      <c r="G8" s="34"/>
      <c r="H8" s="33"/>
      <c r="I8" s="33"/>
      <c r="J8" s="40">
        <f>C30*'E Balans VL '!D18/100/3.6*1000000+C30*'E Balans VL '!E18/100/3.6*1000000</f>
        <v>0</v>
      </c>
      <c r="K8" s="33"/>
      <c r="L8" s="33"/>
      <c r="M8" s="33"/>
      <c r="N8" s="33">
        <f>C30*'E Balans VL '!Y18/100/3.6*1000000</f>
        <v>25.5500166087803</v>
      </c>
      <c r="O8" s="33"/>
      <c r="P8" s="33"/>
      <c r="R8" s="32"/>
    </row>
    <row r="9" spans="1:18">
      <c r="A9" s="6" t="s">
        <v>33</v>
      </c>
      <c r="B9" s="37">
        <f t="shared" si="0"/>
        <v>1274.22690932103</v>
      </c>
      <c r="C9" s="33"/>
      <c r="D9" s="37">
        <f>IF( ISERROR(IND_andere_gas_kWh/1000),0,IND_andere_gas_kWh/1000)*0.902</f>
        <v>1055.5646878520447</v>
      </c>
      <c r="E9" s="33">
        <f>C31*'E Balans VL '!I19/100/3.6*1000000</f>
        <v>372.48133186657861</v>
      </c>
      <c r="F9" s="33">
        <f>C31*'E Balans VL '!L19/100/3.6*1000000+C31*'E Balans VL '!N19/100/3.6*1000000</f>
        <v>1023.9377717540755</v>
      </c>
      <c r="G9" s="34"/>
      <c r="H9" s="33"/>
      <c r="I9" s="33"/>
      <c r="J9" s="40">
        <f>C31*'E Balans VL '!D19/100/3.6*1000000+C31*'E Balans VL '!E19/100/3.6*1000000</f>
        <v>0</v>
      </c>
      <c r="K9" s="33"/>
      <c r="L9" s="33"/>
      <c r="M9" s="33"/>
      <c r="N9" s="33">
        <f>C31*'E Balans VL '!Y19/100/3.6*1000000</f>
        <v>421.02433269791499</v>
      </c>
      <c r="O9" s="33"/>
      <c r="P9" s="33"/>
      <c r="R9" s="32"/>
    </row>
    <row r="10" spans="1:18">
      <c r="A10" s="6" t="s">
        <v>41</v>
      </c>
      <c r="B10" s="37">
        <f t="shared" si="0"/>
        <v>11852.605841603599</v>
      </c>
      <c r="C10" s="33"/>
      <c r="D10" s="37">
        <f>IF( ISERROR(IND_voed_gas_kWh/1000),0,IND_voed_gas_kWh/1000)*0.902</f>
        <v>8431.1080982977492</v>
      </c>
      <c r="E10" s="33">
        <f>C32*'E Balans VL '!I20/100/3.6*1000000</f>
        <v>25.07437143474262</v>
      </c>
      <c r="F10" s="33">
        <f>C32*'E Balans VL '!L20/100/3.6*1000000+C32*'E Balans VL '!N20/100/3.6*1000000</f>
        <v>753.60078649098944</v>
      </c>
      <c r="G10" s="34"/>
      <c r="H10" s="33"/>
      <c r="I10" s="33"/>
      <c r="J10" s="40">
        <f>C32*'E Balans VL '!D20/100/3.6*1000000+C32*'E Balans VL '!E20/100/3.6*1000000</f>
        <v>0</v>
      </c>
      <c r="K10" s="33"/>
      <c r="L10" s="33"/>
      <c r="M10" s="33"/>
      <c r="N10" s="33">
        <f>C32*'E Balans VL '!Y20/100/3.6*1000000</f>
        <v>817.94676744306889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1342.5083154814699</v>
      </c>
      <c r="C12" s="33"/>
      <c r="D12" s="37">
        <f>IF( ISERROR(IND_min_gas_kWh/1000),0,IND_min_gas_kWh/1000)*0.902</f>
        <v>0</v>
      </c>
      <c r="E12" s="33">
        <f>C34*'E Balans VL '!I22/100/3.6*1000000</f>
        <v>38.913788067471543</v>
      </c>
      <c r="F12" s="33">
        <f>C34*'E Balans VL '!L22/100/3.6*1000000+C34*'E Balans VL '!N22/100/3.6*1000000</f>
        <v>461.56952954460473</v>
      </c>
      <c r="G12" s="34"/>
      <c r="H12" s="33"/>
      <c r="I12" s="33"/>
      <c r="J12" s="40">
        <f>C34*'E Balans VL '!D22/100/3.6*1000000+C34*'E Balans VL '!E22/100/3.6*1000000</f>
        <v>2.2061457211823985</v>
      </c>
      <c r="K12" s="33"/>
      <c r="L12" s="33"/>
      <c r="M12" s="33"/>
      <c r="N12" s="33">
        <f>C34*'E Balans VL '!Y22/100/3.6*1000000</f>
        <v>293.89713208909399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11903.631826369301</v>
      </c>
      <c r="C15" s="33"/>
      <c r="D15" s="37">
        <f>IF( ISERROR(IND_rest_gas_kWh/1000),0,IND_rest_gas_kWh/1000)*0.902</f>
        <v>16788.488205245547</v>
      </c>
      <c r="E15" s="33">
        <f>C37*'E Balans VL '!I15/100/3.6*1000000</f>
        <v>657.27023575021565</v>
      </c>
      <c r="F15" s="33">
        <f>C37*'E Balans VL '!L15/100/3.6*1000000+C37*'E Balans VL '!N15/100/3.6*1000000</f>
        <v>2357.7531830189064</v>
      </c>
      <c r="G15" s="34"/>
      <c r="H15" s="33"/>
      <c r="I15" s="33"/>
      <c r="J15" s="40">
        <f>C37*'E Balans VL '!D15/100/3.6*1000000+C37*'E Balans VL '!E15/100/3.6*1000000</f>
        <v>42.614775583370239</v>
      </c>
      <c r="K15" s="33"/>
      <c r="L15" s="33"/>
      <c r="M15" s="33"/>
      <c r="N15" s="33">
        <f>C37*'E Balans VL '!Y15/100/3.6*1000000</f>
        <v>2670.1714651163938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28163.863677011548</v>
      </c>
      <c r="C18" s="21">
        <f>C5+C16</f>
        <v>0</v>
      </c>
      <c r="D18" s="21">
        <f>MAX((D5+D16),0)</f>
        <v>26374.458641614001</v>
      </c>
      <c r="E18" s="21">
        <f>MAX((E5+E16),0)</f>
        <v>1110.2052382212914</v>
      </c>
      <c r="F18" s="21">
        <f>MAX((F5+F16),0)</f>
        <v>4764.7872015802259</v>
      </c>
      <c r="G18" s="21"/>
      <c r="H18" s="21"/>
      <c r="I18" s="21"/>
      <c r="J18" s="21">
        <f>MAX((J5+J16),0)</f>
        <v>44.820921304552641</v>
      </c>
      <c r="K18" s="21"/>
      <c r="L18" s="21">
        <f>MAX((L5+L16),0)</f>
        <v>0</v>
      </c>
      <c r="M18" s="21"/>
      <c r="N18" s="21">
        <f>MAX((N5+N16),0)</f>
        <v>4228.5897139552517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0.20951778603748297</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5900.830363868944</v>
      </c>
      <c r="C22" s="23">
        <f ca="1">C18*C20</f>
        <v>0</v>
      </c>
      <c r="D22" s="23">
        <f>D18*D20</f>
        <v>5327.6406456060286</v>
      </c>
      <c r="E22" s="23">
        <f>E18*E20</f>
        <v>252.01658907623317</v>
      </c>
      <c r="F22" s="23">
        <f>F18*F20</f>
        <v>1272.1981828219205</v>
      </c>
      <c r="G22" s="23"/>
      <c r="H22" s="23"/>
      <c r="I22" s="23"/>
      <c r="J22" s="23">
        <f>J18*J20</f>
        <v>15.866606141811634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1790.89078423615</v>
      </c>
      <c r="C30" s="39">
        <f>IF(ISERROR(B30*3.6/1000000/'E Balans VL '!Z18*100),0,B30*3.6/1000000/'E Balans VL '!Z18*100)</f>
        <v>0.10149437288698188</v>
      </c>
      <c r="D30" s="237" t="s">
        <v>754</v>
      </c>
    </row>
    <row r="31" spans="1:18">
      <c r="A31" s="6" t="s">
        <v>33</v>
      </c>
      <c r="B31" s="37">
        <f>IF( ISERROR(IND_ander_ele_kWh/1000),0,IND_ander_ele_kWh/1000)</f>
        <v>1274.22690932103</v>
      </c>
      <c r="C31" s="39">
        <f>IF(ISERROR(B31*3.6/1000000/'E Balans VL '!Z19*100),0,B31*3.6/1000000/'E Balans VL '!Z19*100)</f>
        <v>5.7793626818297132E-2</v>
      </c>
      <c r="D31" s="237" t="s">
        <v>754</v>
      </c>
    </row>
    <row r="32" spans="1:18">
      <c r="A32" s="171" t="s">
        <v>41</v>
      </c>
      <c r="B32" s="37">
        <f>IF( ISERROR(IND_voed_ele_kWh/1000),0,IND_voed_ele_kWh/1000)</f>
        <v>11852.605841603599</v>
      </c>
      <c r="C32" s="39">
        <f>IF(ISERROR(B32*3.6/1000000/'E Balans VL '!Z20*100),0,B32*3.6/1000000/'E Balans VL '!Z20*100)</f>
        <v>0.36665490496815983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1342.5083154814699</v>
      </c>
      <c r="C34" s="39">
        <f>IF(ISERROR(B34*3.6/1000000/'E Balans VL '!Z22*100),0,B34*3.6/1000000/'E Balans VL '!Z22*100)</f>
        <v>0.24147536017806834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11903.631826369301</v>
      </c>
      <c r="C37" s="39">
        <f>IF(ISERROR(B37*3.6/1000000/'E Balans VL '!Z15*100),0,B37*3.6/1000000/'E Balans VL '!Z15*100)</f>
        <v>9.4350901274201551E-2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10591.637607017394</v>
      </c>
      <c r="C5" s="17">
        <f>'Eigen informatie GS &amp; warmtenet'!B60</f>
        <v>0</v>
      </c>
      <c r="D5" s="30">
        <f>IF(ISERROR(SUM(LB_lb_gas_kWh,LB_rest_gas_kWh,onbekend_gas_kWh)/1000),0,SUM(LB_lb_gas_kWh,LB_rest_gas_kWh,onbekend_gas_kWh)/1000)*0.902</f>
        <v>165366.01620543687</v>
      </c>
      <c r="E5" s="17">
        <f>B17*'E Balans VL '!I25/3.6*1000000/100</f>
        <v>311.32057986544726</v>
      </c>
      <c r="F5" s="17">
        <f>B17*('E Balans VL '!L25/3.6*1000000+'E Balans VL '!N25/3.6*1000000)/100</f>
        <v>44124.18992877908</v>
      </c>
      <c r="G5" s="18"/>
      <c r="H5" s="17"/>
      <c r="I5" s="17"/>
      <c r="J5" s="17">
        <f>('E Balans VL '!D25+'E Balans VL '!E25)/3.6*1000000*landbouw!B17/100</f>
        <v>1534.5008312355235</v>
      </c>
      <c r="K5" s="17"/>
      <c r="L5" s="17">
        <f>L6*(-1)</f>
        <v>0</v>
      </c>
      <c r="M5" s="17"/>
      <c r="N5" s="17">
        <f>N6*(-1)</f>
        <v>124.71428571428569</v>
      </c>
      <c r="O5" s="17"/>
      <c r="P5" s="17"/>
      <c r="R5" s="32"/>
    </row>
    <row r="6" spans="1:18">
      <c r="A6" s="16" t="s">
        <v>488</v>
      </c>
      <c r="B6" s="17" t="s">
        <v>211</v>
      </c>
      <c r="C6" s="17">
        <f>'lokale energieproductie'!O91+'lokale energieproductie'!O60</f>
        <v>82579.5</v>
      </c>
      <c r="D6" s="310">
        <f>('lokale energieproductie'!P60+'lokale energieproductie'!P91)*(-1)</f>
        <v>-165034.28571428571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10591.637607017394</v>
      </c>
      <c r="C8" s="21">
        <f>C5+C6</f>
        <v>82579.5</v>
      </c>
      <c r="D8" s="21">
        <f>MAX((D5+D6),0)</f>
        <v>331.73049115116009</v>
      </c>
      <c r="E8" s="21">
        <f>MAX((E5+E6),0)</f>
        <v>311.32057986544726</v>
      </c>
      <c r="F8" s="21">
        <f>MAX((F5+F6),0)</f>
        <v>44124.18992877908</v>
      </c>
      <c r="G8" s="21"/>
      <c r="H8" s="21"/>
      <c r="I8" s="21"/>
      <c r="J8" s="21">
        <f>MAX((J5+J6),0)</f>
        <v>1534.5008312355235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0.20951778603748297</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2219.1364619336287</v>
      </c>
      <c r="C12" s="23">
        <f ca="1">C8*C10</f>
        <v>19609.956302521012</v>
      </c>
      <c r="D12" s="23">
        <f>D8*D10</f>
        <v>67.009559212534342</v>
      </c>
      <c r="E12" s="23">
        <f>E8*E10</f>
        <v>70.669771629456534</v>
      </c>
      <c r="F12" s="23">
        <f>F8*F10</f>
        <v>11781.158710984015</v>
      </c>
      <c r="G12" s="23"/>
      <c r="H12" s="23"/>
      <c r="I12" s="23"/>
      <c r="J12" s="23">
        <f>J8*J10</f>
        <v>543.21329425737531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1.502986606685341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1194.9503332186648</v>
      </c>
      <c r="C26" s="247">
        <f>B26*'GWP N2O_CH4'!B5</f>
        <v>25093.956997591962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687.93461794583425</v>
      </c>
      <c r="C27" s="247">
        <f>B27*'GWP N2O_CH4'!B5</f>
        <v>14446.626976862519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31.876043903846831</v>
      </c>
      <c r="C28" s="247">
        <f>B28*'GWP N2O_CH4'!B4</f>
        <v>9881.5736101925177</v>
      </c>
      <c r="D28" s="50"/>
    </row>
    <row r="29" spans="1:4">
      <c r="A29" s="41" t="s">
        <v>277</v>
      </c>
      <c r="B29" s="247">
        <f>B34*'ha_N2O bodem landbouw'!B4</f>
        <v>32.658333862219528</v>
      </c>
      <c r="C29" s="247">
        <f>B29*'GWP N2O_CH4'!B4</f>
        <v>10124.083497288053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7.4525192417331815E-3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1.0821272525957316E-4</v>
      </c>
      <c r="C5" s="463" t="s">
        <v>211</v>
      </c>
      <c r="D5" s="448">
        <f>SUM(D6:D11)</f>
        <v>3.8115764558890549E-4</v>
      </c>
      <c r="E5" s="448">
        <f>SUM(E6:E11)</f>
        <v>5.076638465672848E-4</v>
      </c>
      <c r="F5" s="461" t="s">
        <v>211</v>
      </c>
      <c r="G5" s="448">
        <f>SUM(G6:G11)</f>
        <v>0.18769764622729831</v>
      </c>
      <c r="H5" s="448">
        <f>SUM(H6:H11)</f>
        <v>4.2947708393818555E-2</v>
      </c>
      <c r="I5" s="463" t="s">
        <v>211</v>
      </c>
      <c r="J5" s="463" t="s">
        <v>211</v>
      </c>
      <c r="K5" s="463" t="s">
        <v>211</v>
      </c>
      <c r="L5" s="463" t="s">
        <v>211</v>
      </c>
      <c r="M5" s="448">
        <f>SUM(M6:M11)</f>
        <v>1.2240997040119902E-2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8.3966114104480464E-5</v>
      </c>
      <c r="C6" s="449"/>
      <c r="D6" s="962">
        <f>vkm_2011_GW_PW*SUMIFS(TableVerdeelsleutelVkm[CNG],TableVerdeelsleutelVkm[Voertuigtype],"Lichte voertuigen")*SUMIFS(TableECFTransport[EnergieConsumptieFactor (PJ per km)],TableECFTransport[Index],CONCATENATE($A6,"_CNG_CNG"))</f>
        <v>2.518501501475524E-4</v>
      </c>
      <c r="E6" s="962">
        <f>vkm_2011_GW_PW*SUMIFS(TableVerdeelsleutelVkm[LPG],TableVerdeelsleutelVkm[Voertuigtype],"Lichte voertuigen")*SUMIFS(TableECFTransport[EnergieConsumptieFactor (PJ per km)],TableECFTransport[Index],CONCATENATE($A6,"_LPG_LPG"))</f>
        <v>3.4406348159276624E-4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8.8959044224752107E-2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2.8640046455377381E-2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6.0474226084177175E-3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5.2020923037439035E-2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1.5852147145697018E-5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3.0399300068013348E-3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2.4246611155092694E-5</v>
      </c>
      <c r="C8" s="449"/>
      <c r="D8" s="451">
        <f>vkm_2011_NGW_PW*SUMIFS(TableVerdeelsleutelVkm[CNG],TableVerdeelsleutelVkm[Voertuigtype],"Lichte voertuigen")*SUMIFS(TableECFTransport[EnergieConsumptieFactor (PJ per km)],TableECFTransport[Index],CONCATENATE($A8,"_CNG_CNG"))</f>
        <v>1.2930749544135309E-4</v>
      </c>
      <c r="E8" s="451">
        <f>vkm_2011_NGW_PW*SUMIFS(TableVerdeelsleutelVkm[LPG],TableVerdeelsleutelVkm[Voertuigtype],"Lichte voertuigen")*SUMIFS(TableECFTransport[EnergieConsumptieFactor (PJ per km)],TableECFTransport[Index],CONCATENATE($A8,"_LPG_LPG"))</f>
        <v>1.6360036497451851E-4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3.9418709440081363E-2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1.4289715910068024E-2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2.727120748333331E-3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7.2989695250258229E-3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2.0938812274552037E-6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4.2652367656751902E-4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30.059090349881433</v>
      </c>
      <c r="C14" s="21"/>
      <c r="D14" s="21">
        <f t="shared" ref="D14:M14" si="0">((D5)*10^9/3600)+D12</f>
        <v>105.87712377469597</v>
      </c>
      <c r="E14" s="21">
        <f t="shared" si="0"/>
        <v>141.0177351575791</v>
      </c>
      <c r="F14" s="21"/>
      <c r="G14" s="21">
        <f t="shared" si="0"/>
        <v>52138.235063138425</v>
      </c>
      <c r="H14" s="21">
        <f t="shared" si="0"/>
        <v>11929.918998282932</v>
      </c>
      <c r="I14" s="21"/>
      <c r="J14" s="21"/>
      <c r="K14" s="21"/>
      <c r="L14" s="21"/>
      <c r="M14" s="21">
        <f t="shared" si="0"/>
        <v>3400.2769555888613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0.20951778603748297</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6.2979140604078276</v>
      </c>
      <c r="C18" s="23"/>
      <c r="D18" s="23">
        <f t="shared" ref="D18:M18" si="1">D14*D16</f>
        <v>21.387179002488587</v>
      </c>
      <c r="E18" s="23">
        <f t="shared" si="1"/>
        <v>32.011025880770454</v>
      </c>
      <c r="F18" s="23"/>
      <c r="G18" s="23">
        <f t="shared" si="1"/>
        <v>13920.90876185796</v>
      </c>
      <c r="H18" s="23">
        <f t="shared" si="1"/>
        <v>2970.54983057245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4.8323036675888649E-3</v>
      </c>
      <c r="H50" s="321">
        <f t="shared" si="2"/>
        <v>0</v>
      </c>
      <c r="I50" s="321">
        <f t="shared" si="2"/>
        <v>0</v>
      </c>
      <c r="J50" s="321">
        <f t="shared" si="2"/>
        <v>0</v>
      </c>
      <c r="K50" s="321">
        <f t="shared" si="2"/>
        <v>0</v>
      </c>
      <c r="L50" s="321">
        <f t="shared" si="2"/>
        <v>0</v>
      </c>
      <c r="M50" s="321">
        <f t="shared" si="2"/>
        <v>2.7445351574539352E-4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4.8323036675888649E-3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2.7445351574539352E-4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1342.3065743302402</v>
      </c>
      <c r="H54" s="21">
        <f t="shared" si="3"/>
        <v>0</v>
      </c>
      <c r="I54" s="21">
        <f t="shared" si="3"/>
        <v>0</v>
      </c>
      <c r="J54" s="21">
        <f t="shared" si="3"/>
        <v>0</v>
      </c>
      <c r="K54" s="21">
        <f t="shared" si="3"/>
        <v>0</v>
      </c>
      <c r="L54" s="21">
        <f t="shared" si="3"/>
        <v>0</v>
      </c>
      <c r="M54" s="21">
        <f t="shared" si="3"/>
        <v>76.23708770705376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0.20951778603748297</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358.39585534617413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8497.7356456598864</v>
      </c>
      <c r="C6" s="1263"/>
      <c r="D6" s="1248"/>
      <c r="E6" s="1248"/>
      <c r="F6" s="1266"/>
      <c r="G6" s="1269"/>
      <c r="H6" s="1260"/>
      <c r="I6" s="1248"/>
      <c r="J6" s="1248"/>
      <c r="K6" s="1248"/>
      <c r="L6" s="1252"/>
      <c r="M6" s="575"/>
      <c r="N6" s="1226"/>
      <c r="O6" s="1227"/>
      <c r="Q6" s="573"/>
      <c r="R6" s="1214"/>
      <c r="S6" s="1214"/>
    </row>
    <row r="7" spans="1:19" s="563" customFormat="1">
      <c r="A7" s="576" t="s">
        <v>252</v>
      </c>
      <c r="B7" s="577">
        <f>N57</f>
        <v>57805.65</v>
      </c>
      <c r="C7" s="578">
        <f>B100</f>
        <v>67955.294117647063</v>
      </c>
      <c r="D7" s="579"/>
      <c r="E7" s="579">
        <f>E100</f>
        <v>0</v>
      </c>
      <c r="F7" s="580"/>
      <c r="G7" s="581"/>
      <c r="H7" s="579">
        <f>I100</f>
        <v>0</v>
      </c>
      <c r="I7" s="579">
        <f>G100+F100</f>
        <v>0</v>
      </c>
      <c r="J7" s="579">
        <f>H100+D100+C100</f>
        <v>51.352941176470587</v>
      </c>
      <c r="K7" s="579"/>
      <c r="L7" s="582"/>
      <c r="M7" s="583">
        <f>C7*$C$11+D7*$D$11+E7*$E$11+F7*$F$11+G7*$G$11+H7*$H$11+I7*$I$11+J7*$J$11</f>
        <v>13726.969411764707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66303.385645659888</v>
      </c>
      <c r="C9" s="594">
        <f t="shared" ref="C9:L9" si="0">SUM(C7:C8)</f>
        <v>67955.294117647063</v>
      </c>
      <c r="D9" s="594">
        <f t="shared" si="0"/>
        <v>0</v>
      </c>
      <c r="E9" s="594">
        <f t="shared" si="0"/>
        <v>0</v>
      </c>
      <c r="F9" s="594">
        <f t="shared" si="0"/>
        <v>0</v>
      </c>
      <c r="G9" s="594">
        <f t="shared" si="0"/>
        <v>0</v>
      </c>
      <c r="H9" s="594">
        <f t="shared" si="0"/>
        <v>0</v>
      </c>
      <c r="I9" s="594">
        <f t="shared" si="0"/>
        <v>0</v>
      </c>
      <c r="J9" s="594">
        <f t="shared" si="0"/>
        <v>51.352941176470587</v>
      </c>
      <c r="K9" s="594">
        <f t="shared" si="0"/>
        <v>0</v>
      </c>
      <c r="L9" s="594">
        <f t="shared" si="0"/>
        <v>0</v>
      </c>
      <c r="M9" s="595">
        <f>SUM(M4:M8)</f>
        <v>13726.969411764707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82579.5</v>
      </c>
      <c r="C16" s="610">
        <f>B101</f>
        <v>97078.991596638662</v>
      </c>
      <c r="D16" s="611"/>
      <c r="E16" s="611">
        <f>E101</f>
        <v>0</v>
      </c>
      <c r="F16" s="612"/>
      <c r="G16" s="613"/>
      <c r="H16" s="610">
        <f>I101</f>
        <v>0</v>
      </c>
      <c r="I16" s="611">
        <f>G101+F101</f>
        <v>0</v>
      </c>
      <c r="J16" s="611">
        <f>H101+D101+C101</f>
        <v>73.361344537815114</v>
      </c>
      <c r="K16" s="611"/>
      <c r="L16" s="614"/>
      <c r="M16" s="615">
        <f>C16*$C$21+E16*$E$21+H16*$H$21+I16*$I$21+J16*$J$21+D16*$D$21+F16*$F$21+G16*$G$21+K16*$K$21+L16*$L$21</f>
        <v>19609.956302521012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82579.5</v>
      </c>
      <c r="C19" s="593">
        <f>SUM(C16:C18)</f>
        <v>97078.991596638662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19609.956302521012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13035</v>
      </c>
      <c r="C27" s="851">
        <v>2381</v>
      </c>
      <c r="D27" s="672" t="s">
        <v>844</v>
      </c>
      <c r="E27" s="671" t="s">
        <v>845</v>
      </c>
      <c r="F27" s="671" t="s">
        <v>846</v>
      </c>
      <c r="G27" s="671" t="s">
        <v>847</v>
      </c>
      <c r="H27" s="671" t="s">
        <v>848</v>
      </c>
      <c r="I27" s="671" t="s">
        <v>845</v>
      </c>
      <c r="J27" s="850">
        <v>40388</v>
      </c>
      <c r="K27" s="850">
        <v>39083</v>
      </c>
      <c r="L27" s="671" t="s">
        <v>849</v>
      </c>
      <c r="M27" s="671">
        <v>5024</v>
      </c>
      <c r="N27" s="671">
        <v>22608</v>
      </c>
      <c r="O27" s="671">
        <v>32297.142857142859</v>
      </c>
      <c r="P27" s="671">
        <v>64594.285714285717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13035</v>
      </c>
      <c r="C28" s="851">
        <v>2382</v>
      </c>
      <c r="D28" s="672" t="s">
        <v>850</v>
      </c>
      <c r="E28" s="671" t="s">
        <v>851</v>
      </c>
      <c r="F28" s="671" t="s">
        <v>852</v>
      </c>
      <c r="G28" s="671" t="s">
        <v>847</v>
      </c>
      <c r="H28" s="671" t="s">
        <v>848</v>
      </c>
      <c r="I28" s="671" t="s">
        <v>851</v>
      </c>
      <c r="J28" s="850">
        <v>40162</v>
      </c>
      <c r="K28" s="850">
        <v>40163</v>
      </c>
      <c r="L28" s="671" t="s">
        <v>849</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25.5">
      <c r="A29" s="624"/>
      <c r="B29" s="851">
        <v>13035</v>
      </c>
      <c r="C29" s="851">
        <v>2380</v>
      </c>
      <c r="D29" s="672" t="s">
        <v>853</v>
      </c>
      <c r="E29" s="671" t="s">
        <v>854</v>
      </c>
      <c r="F29" s="671" t="s">
        <v>855</v>
      </c>
      <c r="G29" s="671" t="s">
        <v>847</v>
      </c>
      <c r="H29" s="671" t="s">
        <v>848</v>
      </c>
      <c r="I29" s="671" t="s">
        <v>856</v>
      </c>
      <c r="J29" s="850">
        <v>41292</v>
      </c>
      <c r="K29" s="850">
        <v>41292</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13035</v>
      </c>
      <c r="C30" s="851">
        <v>2381</v>
      </c>
      <c r="D30" s="672" t="s">
        <v>844</v>
      </c>
      <c r="E30" s="671" t="s">
        <v>845</v>
      </c>
      <c r="F30" s="671" t="s">
        <v>857</v>
      </c>
      <c r="G30" s="671" t="s">
        <v>847</v>
      </c>
      <c r="H30" s="671" t="s">
        <v>848</v>
      </c>
      <c r="I30" s="671" t="s">
        <v>858</v>
      </c>
      <c r="J30" s="850">
        <v>41953</v>
      </c>
      <c r="K30" s="850">
        <v>41953</v>
      </c>
      <c r="L30" s="671" t="s">
        <v>849</v>
      </c>
      <c r="M30" s="671">
        <v>2678</v>
      </c>
      <c r="N30" s="671">
        <v>12051</v>
      </c>
      <c r="O30" s="671">
        <v>17215.714285714286</v>
      </c>
      <c r="P30" s="671">
        <v>34431.428571428572</v>
      </c>
      <c r="Q30" s="671">
        <v>0</v>
      </c>
      <c r="R30" s="671">
        <v>0</v>
      </c>
      <c r="S30" s="671">
        <v>0</v>
      </c>
      <c r="T30" s="671">
        <v>0</v>
      </c>
      <c r="U30" s="671">
        <v>0</v>
      </c>
      <c r="V30" s="671">
        <v>0</v>
      </c>
      <c r="W30" s="671">
        <v>0</v>
      </c>
      <c r="X30" s="671">
        <v>10</v>
      </c>
      <c r="Y30" s="671" t="s">
        <v>112</v>
      </c>
      <c r="Z30" s="673" t="s">
        <v>112</v>
      </c>
    </row>
    <row r="31" spans="1:26" s="625" customFormat="1" ht="25.5">
      <c r="A31" s="624"/>
      <c r="B31" s="851">
        <v>13035</v>
      </c>
      <c r="C31" s="851">
        <v>2381</v>
      </c>
      <c r="D31" s="672" t="s">
        <v>859</v>
      </c>
      <c r="E31" s="671" t="s">
        <v>860</v>
      </c>
      <c r="F31" s="671" t="s">
        <v>861</v>
      </c>
      <c r="G31" s="671" t="s">
        <v>847</v>
      </c>
      <c r="H31" s="671" t="s">
        <v>848</v>
      </c>
      <c r="I31" s="671" t="s">
        <v>860</v>
      </c>
      <c r="J31" s="850">
        <v>41981</v>
      </c>
      <c r="K31" s="850">
        <v>41981</v>
      </c>
      <c r="L31" s="671" t="s">
        <v>849</v>
      </c>
      <c r="M31" s="671">
        <v>3120</v>
      </c>
      <c r="N31" s="671">
        <v>14040</v>
      </c>
      <c r="O31" s="671">
        <v>20057.142857142859</v>
      </c>
      <c r="P31" s="671">
        <v>40114.285714285717</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12845.7</v>
      </c>
      <c r="N57" s="629">
        <f>SUM(N27:N56)</f>
        <v>57805.65</v>
      </c>
      <c r="O57" s="629">
        <f t="shared" ref="O57:W57" si="2">SUM(O27:O56)</f>
        <v>82579.5</v>
      </c>
      <c r="P57" s="629">
        <f t="shared" si="2"/>
        <v>165034.28571428571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12845.7</v>
      </c>
      <c r="N60" s="634">
        <f t="shared" ref="N60:W60" si="4">SUMIF($Z$27:$Z$56,"landbouw",N27:N56)</f>
        <v>57805.65</v>
      </c>
      <c r="O60" s="634">
        <f t="shared" si="4"/>
        <v>82579.5</v>
      </c>
      <c r="P60" s="634">
        <f t="shared" si="4"/>
        <v>165034.28571428571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67955.294117647063</v>
      </c>
      <c r="C100" s="663">
        <f t="shared" si="9"/>
        <v>51.352941176470587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97078.991596638662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2019-01-01T21:17:48Z</dcterms:modified>
</cp:coreProperties>
</file>