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H25"/>
  <c r="H24"/>
  <c r="J24"/>
  <c r="D28"/>
  <c r="D30"/>
  <c r="D21"/>
  <c r="F28"/>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L53" i="14"/>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Q41" i="14" l="1"/>
  <c r="Q53" s="1"/>
  <c r="Q55"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B22" i="6"/>
  <c r="C29" i="20" s="1"/>
  <c r="P55" i="14"/>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Q5" l="1"/>
  <c r="C20" i="16"/>
  <c r="C22" s="1"/>
  <c r="D39" i="14" s="1"/>
  <c r="C18" i="15"/>
  <c r="C20" s="1"/>
  <c r="D36" i="14" s="1"/>
  <c r="C17" i="19"/>
  <c r="C19" s="1"/>
  <c r="D35"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F25" i="48"/>
  <c r="F31" s="1"/>
  <c r="F14"/>
  <c r="N25" l="1"/>
  <c r="N31" s="1"/>
  <c r="D41" i="14"/>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<sst xmlns="http://schemas.openxmlformats.org/spreadsheetml/2006/main" count="2108" uniqueCount="850">
  <si>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</si>
  <si>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</si>
  <si>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</si>
  <si>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</si>
  <si>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</si>
  <si>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</si>
  <si>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</si>
  <si>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</si>
  <si>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</si>
  <si>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</si>
  <si>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</si>
  <si>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</si>
  <si>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</si>
  <si>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</si>
  <si>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</si>
  <si>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</si>
  <si>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</si>
  <si>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</si>
  <si>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</si>
  <si>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</si>
  <si>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</si>
  <si>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</si>
  <si>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</si>
  <si>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</si>
  <si>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</si>
  <si>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</si>
  <si>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</si>
  <si>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</si>
  <si>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</si>
  <si>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</si>
  <si>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</si>
  <si>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</si>
  <si>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</si>
  <si>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</si>
  <si>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</si>
  <si>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</si>
  <si>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</si>
  <si>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</si>
  <si>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</si>
  <si>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</si>
  <si>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</si>
  <si>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</si>
  <si>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</si>
  <si>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</si>
  <si>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</si>
  <si>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</si>
  <si>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</si>
  <si>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</si>
  <si>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</si>
  <si>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</si>
  <si>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</si>
  <si>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</si>
  <si>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</si>
  <si>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</si>
  <si>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</si>
  <si>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</si>
  <si>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</si>
  <si>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</si>
  <si>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</si>
  <si>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</si>
  <si>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</si>
  <si>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</si>
  <si>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</si>
  <si>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</si>
  <si>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</si>
  <si>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</si>
  <si>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</si>
  <si>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</si>
  <si>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</si>
  <si>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</si>
  <si>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</si>
  <si>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</si>
  <si>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</si>
  <si>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</si>
  <si>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</si>
  <si>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</si>
  <si>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</si>
  <si>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</si>
  <si>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</si>
  <si>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</si>
  <si>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</si>
  <si>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</si>
  <si>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</si>
  <si>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</si>
  <si>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</si>
  <si>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</si>
  <si>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</si>
  <si>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</si>
  <si>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</si>
  <si>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</si>
  <si>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</si>
  <si>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</si>
  <si>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</si>
  <si>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</si>
  <si>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</si>
  <si>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</si>
  <si>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</si>
  <si>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</si>
  <si>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</si>
  <si>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</si>
  <si>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</si>
  <si>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</si>
  <si>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</si>
  <si>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</si>
  <si>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</si>
  <si>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</si>
  <si>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</si>
  <si>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</si>
  <si>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</si>
  <si>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</si>
  <si>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</si>
  <si>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</si>
  <si>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</si>
  <si>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</si>
  <si>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</si>
  <si>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</si>
  <si>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</si>
  <si>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</si>
  <si>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</si>
  <si>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</si>
  <si>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</si>
  <si>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</si>
  <si>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</si>
  <si>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</si>
  <si>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</si>
  <si>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</si>
  <si>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</si>
  <si>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</si>
  <si>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</si>
  <si>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</si>
  <si>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</si>
  <si>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</si>
  <si>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</si>
  <si>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</si>
  <si>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</si>
  <si>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</si>
  <si>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</si>
  <si>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</si>
  <si>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</si>
  <si>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</si>
  <si>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</si>
  <si>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</si>
  <si>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</si>
  <si>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</si>
  <si>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</si>
  <si>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</si>
  <si>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</si>
  <si>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</si>
  <si>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</si>
  <si>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</si>
  <si>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</si>
  <si>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</si>
  <si>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</si>
  <si>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</si>
  <si>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</si>
  <si>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</si>
  <si>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</si>
  <si>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</si>
  <si>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</si>
  <si>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</si>
  <si>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</si>
  <si>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</si>
  <si>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</si>
  <si>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</si>
  <si>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</si>
  <si>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</si>
  <si>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</si>
  <si>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</si>
  <si>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</si>
  <si>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</si>
  <si>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</si>
  <si>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</si>
  <si>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</si>
  <si>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</si>
  <si>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</si>
  <si>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</si>
  <si>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</si>
  <si>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</si>
  <si>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</si>
  <si>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</si>
  <si>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</si>
  <si>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</si>
  <si>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</si>
  <si>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</si>
  <si>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</si>
  <si>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</si>
  <si>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</si>
  <si>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</si>
  <si>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</si>
  <si>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</si>
  <si>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</si>
  <si>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</si>
  <si>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</si>
  <si>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</si>
  <si>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</si>
  <si>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</si>
  <si>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</si>
  <si>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</si>
  <si>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</si>
  <si>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</si>
  <si>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</si>
  <si>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</si>
  <si>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</si>
  <si>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</si>
  <si>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</si>
  <si>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</si>
  <si>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</si>
  <si>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</si>
  <si>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</si>
  <si>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</si>
  <si>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</si>
  <si>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</si>
  <si>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</si>
  <si>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</si>
  <si>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</si>
  <si>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</si>
  <si>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</si>
  <si>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</si>
  <si>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</si>
  <si>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</si>
  <si>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</si>
  <si>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</si>
  <si>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</si>
  <si>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</si>
  <si>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</si>
  <si>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</si>
  <si>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</si>
  <si>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</si>
  <si>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</si>
  <si>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</si>
  <si>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</si>
  <si>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</si>
  <si>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</si>
  <si>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</si>
  <si>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</si>
  <si>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</si>
  <si>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</si>
  <si>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</si>
  <si>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</si>
  <si>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</si>
  <si>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</si>
  <si>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</si>
  <si>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</si>
  <si>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</si>
  <si>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</si>
  <si>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</si>
  <si>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</si>
  <si>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</si>
  <si>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</si>
  <si>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</si>
  <si>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</si>
  <si>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</si>
  <si>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</si>
  <si>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</si>
  <si>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</si>
  <si>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</si>
  <si>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</si>
  <si>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</si>
  <si>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</si>
  <si>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</si>
  <si>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</si>
  <si>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</si>
  <si>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</si>
  <si>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</si>
  <si>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</si>
  <si>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</si>
  <si>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</si>
  <si>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</si>
  <si>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</si>
  <si>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</si>
  <si>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</si>
  <si>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</si>
  <si>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</si>
  <si>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</si>
  <si>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</si>
  <si>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</si>
  <si>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</si>
  <si>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</si>
  <si>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</si>
  <si>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</si>
  <si>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</si>
  <si>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</si>
  <si>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</si>
  <si>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</si>
  <si>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</si>
  <si>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</si>
  <si>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</si>
  <si>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</si>
  <si>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</si>
  <si>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</si>
  <si>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</si>
  <si>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</si>
  <si>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</si>
  <si>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</si>
  <si>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</si>
  <si>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</si>
  <si>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</si>
  <si>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</si>
  <si>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</si>
  <si>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</si>
  <si>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</si>
  <si>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</si>
  <si>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</si>
  <si>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</si>
  <si>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</si>
  <si>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</si>
  <si>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</si>
  <si>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</si>
  <si>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</si>
  <si>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</si>
  <si>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</si>
  <si>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</si>
  <si>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</si>
  <si>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</si>
  <si>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</si>
  <si>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</si>
  <si>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</si>
  <si>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</si>
  <si>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</si>
  <si>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</si>
  <si>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</si>
  <si>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</si>
  <si>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</si>
  <si>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</si>
  <si>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</si>
  <si>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</si>
  <si>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</si>
  <si>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</si>
  <si>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</si>
  <si>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</si>
  <si>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</si>
  <si>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</si>
  <si>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</si>
  <si>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</si>
  <si>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</si>
  <si>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</si>
  <si>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</si>
  <si>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</si>
  <si>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</si>
  <si>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</si>
  <si>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</si>
  <si>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</si>
  <si>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</si>
  <si>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</si>
  <si>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</si>
  <si>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</si>
  <si>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</si>
  <si>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</si>
  <si>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</si>
  <si>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</si>
  <si>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</si>
  <si>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</si>
  <si>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</si>
  <si>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</si>
  <si>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</si>
  <si>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</si>
  <si>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</si>
  <si>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</si>
  <si>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</si>
  <si>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</si>
  <si>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</si>
  <si>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</si>
  <si>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</si>
  <si>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</si>
  <si>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</si>
  <si>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</si>
  <si>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</si>
  <si>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</si>
  <si>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</si>
  <si>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</si>
  <si>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</si>
  <si>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</si>
  <si>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</si>
  <si>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</si>
  <si>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</si>
  <si>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</si>
  <si>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</si>
  <si>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</si>
  <si>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</si>
  <si>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</si>
  <si>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</si>
  <si>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</si>
  <si>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</si>
  <si>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</si>
  <si>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</si>
  <si>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</si>
  <si>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</si>
  <si>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</si>
  <si>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</si>
  <si>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</si>
  <si>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</si>
  <si>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</si>
  <si>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</si>
  <si>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</si>
  <si>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</si>
  <si>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</si>
  <si>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</si>
  <si>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</si>
  <si>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</si>
  <si>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</si>
  <si>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</si>
  <si>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</si>
  <si>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</si>
  <si>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</si>
  <si>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</si>
  <si>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</si>
  <si>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</si>
  <si>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</si>
  <si>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</si>
  <si>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</si>
  <si>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</si>
  <si>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</si>
  <si>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</si>
  <si>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</si>
  <si>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</si>
  <si>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</si>
  <si>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</si>
  <si>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</si>
  <si>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</si>
  <si>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</si>
  <si>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</si>
  <si>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</si>
  <si>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</si>
  <si>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</si>
  <si>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</si>
  <si>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</si>
  <si>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</si>
  <si>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</si>
  <si>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</si>
  <si>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</si>
  <si>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</si>
  <si>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</si>
  <si>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</si>
  <si>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</si>
  <si>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</si>
  <si>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</si>
  <si>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</si>
  <si>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</si>
  <si>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</si>
  <si>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</si>
  <si>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</si>
  <si>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</si>
  <si>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</si>
  <si>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</si>
  <si>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</si>
  <si>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</si>
  <si>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</si>
  <si>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</si>
  <si>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</si>
  <si>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</si>
  <si>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</si>
  <si>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</si>
  <si>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</si>
  <si>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</si>
  <si>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</si>
  <si>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</si>
  <si>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</si>
  <si>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</si>
  <si>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</si>
  <si>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</si>
  <si>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</si>
  <si>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</si>
  <si>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</si>
  <si>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</si>
  <si>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</si>
  <si>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</si>
  <si>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</si>
  <si>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</si>
  <si>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</si>
  <si>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</si>
  <si>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</si>
  <si>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</si>
  <si>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</si>
  <si>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</si>
  <si>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</si>
  <si>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</si>
  <si>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</si>
  <si>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</si>
  <si>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</si>
  <si>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</si>
  <si>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</si>
  <si>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</si>
  <si>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</si>
  <si>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</si>
  <si>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</si>
  <si>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</si>
  <si>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</si>
  <si>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</si>
  <si>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</si>
  <si>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</si>
  <si>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</si>
  <si>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</si>
  <si>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</si>
  <si>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</si>
  <si>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</si>
  <si>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</si>
  <si>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</si>
  <si>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</si>
  <si>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</si>
  <si>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</si>
  <si>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</si>
  <si>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</si>
  <si>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</si>
  <si>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</si>
  <si>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</si>
  <si>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</si>
  <si>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</si>
  <si>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</si>
  <si>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</si>
  <si>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</si>
  <si>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</si>
  <si>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</si>
  <si>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</si>
  <si>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</si>
  <si>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</si>
  <si>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</si>
  <si>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</si>
  <si>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</si>
  <si>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</si>
  <si>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</si>
  <si>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</si>
  <si>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</si>
  <si>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</si>
  <si>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</si>
  <si>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</si>
  <si>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</si>
  <si>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</si>
  <si>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</si>
  <si>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</si>
  <si>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</si>
  <si>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</si>
  <si>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</si>
  <si>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</si>
  <si>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</si>
  <si>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</si>
  <si>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</si>
  <si>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</si>
  <si>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</si>
  <si>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</si>
  <si>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</si>
  <si>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</si>
  <si>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</si>
  <si>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</si>
  <si>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</si>
  <si>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</si>
  <si>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</si>
  <si>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</si>
  <si>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</si>
  <si>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</si>
  <si>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</si>
  <si>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</si>
  <si>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</si>
  <si>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</si>
  <si>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</si>
  <si>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</si>
  <si>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</si>
  <si>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</si>
  <si>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</si>
  <si>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</si>
  <si>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</si>
  <si>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</si>
  <si>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</si>
  <si>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</si>
  <si>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</si>
  <si>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</si>
  <si>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</si>
  <si>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</si>
  <si>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</si>
  <si>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</si>
  <si>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</si>
  <si>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</si>
  <si>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</si>
  <si>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</si>
  <si>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</si>
  <si>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</si>
  <si>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</si>
  <si>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</si>
  <si>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</si>
  <si>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</si>
  <si>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</si>
  <si>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</si>
  <si>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</si>
  <si>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</si>
  <si>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</si>
  <si>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</si>
  <si>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</si>
  <si>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</si>
  <si>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</si>
  <si>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</si>
  <si>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</si>
  <si>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</si>
  <si>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</si>
  <si>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</si>
  <si>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</si>
  <si>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</si>
  <si>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</si>
  <si>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</si>
  <si>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</si>
  <si>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</si>
  <si>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</si>
  <si>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</si>
  <si>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</si>
  <si>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</si>
  <si>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</si>
  <si>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</si>
  <si>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</si>
  <si>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</si>
  <si>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</si>
  <si>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</si>
  <si>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</si>
  <si>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</si>
  <si>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</si>
  <si>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</si>
  <si>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</si>
  <si>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</si>
  <si>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</si>
  <si>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</si>
  <si>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</si>
  <si>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</si>
  <si>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</si>
  <si>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</si>
  <si>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</si>
  <si>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</si>
  <si>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</si>
  <si>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</si>
  <si>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</si>
  <si>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</si>
  <si>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</si>
  <si>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</si>
  <si>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</si>
  <si>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</si>
  <si>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</si>
  <si>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</si>
  <si>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</si>
  <si>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</si>
  <si>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</si>
  <si>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</si>
  <si>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</si>
  <si>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</si>
  <si>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</si>
  <si>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</si>
  <si>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</si>
  <si>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</si>
  <si>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</si>
  <si>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</si>
  <si>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</si>
  <si>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</si>
  <si>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</si>
  <si>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</si>
  <si>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</si>
  <si>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</si>
  <si>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</si>
  <si>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</si>
  <si>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</si>
  <si>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</si>
  <si>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</si>
  <si>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</si>
  <si>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</si>
  <si>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</si>
  <si>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</si>
  <si>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</si>
  <si>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</si>
  <si>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</si>
  <si>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</si>
  <si>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</si>
  <si>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</si>
  <si>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</si>
  <si>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</si>
  <si>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</si>
  <si>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</si>
  <si>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</si>
  <si>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</si>
  <si>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</si>
  <si>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</si>
  <si>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</si>
  <si>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</si>
  <si>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</si>
  <si>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</si>
  <si>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</si>
  <si>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</si>
  <si>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</si>
  <si>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</si>
  <si>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</si>
  <si>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</si>
  <si>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</si>
  <si>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</si>
  <si>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</si>
  <si>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</si>
  <si>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</si>
  <si>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</si>
  <si>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</si>
  <si>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</si>
  <si>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</si>
  <si>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</si>
  <si>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</si>
  <si>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</si>
  <si>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</si>
  <si>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</si>
  <si>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</si>
  <si>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</si>
  <si>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</si>
  <si>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</si>
  <si>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</si>
  <si>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</si>
  <si>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</si>
  <si>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</si>
  <si>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</si>
  <si>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</si>
  <si>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</si>
  <si>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</si>
  <si>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</si>
  <si>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</si>
  <si>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</si>
  <si>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</si>
  <si>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</si>
  <si>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</si>
  <si>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</si>
  <si>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</si>
  <si>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</si>
  <si>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</si>
  <si>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</si>
  <si>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</si>
  <si>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</si>
  <si>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</si>
  <si>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</si>
  <si>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</si>
  <si>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</si>
  <si>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</si>
  <si>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</si>
  <si>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</si>
  <si>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</si>
  <si>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</si>
  <si>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</si>
  <si>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</si>
  <si>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</si>
  <si>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</si>
  <si>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</si>
  <si>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</si>
  <si>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</si>
  <si>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</si>
  <si>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</si>
  <si>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</si>
  <si>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</si>
  <si>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</si>
  <si>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</si>
  <si>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</si>
  <si>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</si>
  <si>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</si>
  <si>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</si>
  <si>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</si>
  <si>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</si>
  <si>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</si>
  <si>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</si>
  <si>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</si>
  <si>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</si>
  <si>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</si>
  <si>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</si>
  <si>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</si>
  <si>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</si>
  <si>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</si>
  <si>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</si>
  <si>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</si>
  <si>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</si>
  <si>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</si>
  <si>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</si>
  <si>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</si>
  <si>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</si>
  <si>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</si>
  <si>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</si>
  <si>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</si>
  <si>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</si>
  <si>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</si>
  <si>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</si>
  <si>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</si>
  <si>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</si>
  <si>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</si>
  <si>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</si>
  <si>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</si>
  <si>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</si>
  <si>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</si>
  <si>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</si>
  <si>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</si>
  <si>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</si>
  <si>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</si>
  <si>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</si>
  <si>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</si>
  <si>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</si>
  <si>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</si>
  <si>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</si>
  <si>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</si>
  <si>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</si>
  <si>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</si>
  <si>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</si>
  <si>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</si>
  <si>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</si>
  <si>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</si>
  <si>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</si>
  <si>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</si>
  <si>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</si>
  <si>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</si>
  <si>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</si>
  <si>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</si>
  <si>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</si>
  <si>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</si>
  <si>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</si>
  <si>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</si>
  <si>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</si>
  <si>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</si>
  <si>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</si>
  <si>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</si>
  <si>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</si>
  <si>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</si>
  <si>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</si>
  <si>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</si>
  <si>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</si>
  <si>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</si>
  <si>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</si>
  <si>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</si>
  <si>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</si>
  <si>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</si>
  <si>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</si>
  <si>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</si>
  <si>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</si>
  <si>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</si>
  <si>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</si>
  <si>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</si>
  <si>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</si>
  <si>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</si>
  <si>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</si>
  <si>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</si>
  <si>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</si>
  <si>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</si>
  <si>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</si>
  <si>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</si>
  <si>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</si>
  <si>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</si>
  <si>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13031</t>
  </si>
  <si>
    <t>OUD-TURNHOUT</t>
  </si>
  <si>
    <t>Eandis (januari 2018); Infrax (juni 2018)</t>
  </si>
  <si>
    <t>MOW (september 2017)</t>
  </si>
  <si>
    <t>referentietaak LNE (2017); Jaarverslag De Lijn (2016)</t>
  </si>
  <si>
    <t>VEA (april 2018)</t>
  </si>
  <si>
    <t>VEA (januari 2017)</t>
  </si>
  <si>
    <t>VEA (juni 2018)</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</si>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</sst>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137586.49308362292</c:v>
                </c:pt>
                <c:pt idx="1">
                  <c:v>36434.092479990722</c:v>
                </c:pt>
                <c:pt idx="2">
                  <c:v>717.24900000000002</c:v>
                </c:pt>
                <c:pt idx="3">
                  <c:v>30826.252537809116</c:v>
                </c:pt>
                <c:pt idx="4">
                  <c:v>6138.791590622347</c:v>
                </c:pt>
                <c:pt idx="5">
                  <c:v>139016.73883370866</c:v>
                </c:pt>
                <c:pt idx="6">
                  <c:v>1359.115971719302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137586.49308362292</c:v>
                </c:pt>
                <c:pt idx="1">
                  <c:v>36434.092479990722</c:v>
                </c:pt>
                <c:pt idx="2">
                  <c:v>717.24900000000002</c:v>
                </c:pt>
                <c:pt idx="3">
                  <c:v>30826.252537809116</c:v>
                </c:pt>
                <c:pt idx="4">
                  <c:v>6138.791590622347</c:v>
                </c:pt>
                <c:pt idx="5">
                  <c:v>139016.73883370866</c:v>
                </c:pt>
                <c:pt idx="6">
                  <c:v>1359.115971719302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19479.734757441616</c:v>
                </c:pt>
                <c:pt idx="1">
                  <c:v>5043.705817605668</c:v>
                </c:pt>
                <c:pt idx="2">
                  <c:v>46.155590673865902</c:v>
                </c:pt>
                <c:pt idx="3">
                  <c:v>7237.9997154633065</c:v>
                </c:pt>
                <c:pt idx="4">
                  <c:v>940.37363493582018</c:v>
                </c:pt>
                <c:pt idx="5">
                  <c:v>34846.876017113937</c:v>
                </c:pt>
                <c:pt idx="6">
                  <c:v>343.38141590891678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19479.734757441616</c:v>
                </c:pt>
                <c:pt idx="1">
                  <c:v>5043.705817605668</c:v>
                </c:pt>
                <c:pt idx="2">
                  <c:v>46.155590673865902</c:v>
                </c:pt>
                <c:pt idx="3">
                  <c:v>7237.9997154633065</c:v>
                </c:pt>
                <c:pt idx="4">
                  <c:v>940.37363493582018</c:v>
                </c:pt>
                <c:pt idx="5">
                  <c:v>34846.876017113937</c:v>
                </c:pt>
                <c:pt idx="6">
                  <c:v>343.38141590891678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13031</v>
      </c>
      <c r="B6" s="415"/>
      <c r="C6" s="416"/>
    </row>
    <row r="7" spans="1:7" s="413" customFormat="1" ht="15.75" customHeight="1">
      <c r="A7" s="417" t="str">
        <f>txtMunicipality</f>
        <v>OUD-TURNHOUT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5334</v>
      </c>
      <c r="C9" s="342">
        <v>5336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1781.96</v>
      </c>
    </row>
    <row r="15" spans="1:6">
      <c r="A15" s="348" t="s">
        <v>184</v>
      </c>
      <c r="B15" s="334">
        <v>2473</v>
      </c>
    </row>
    <row r="16" spans="1:6">
      <c r="A16" s="348" t="s">
        <v>6</v>
      </c>
      <c r="B16" s="334">
        <v>956</v>
      </c>
    </row>
    <row r="17" spans="1:6">
      <c r="A17" s="348" t="s">
        <v>7</v>
      </c>
      <c r="B17" s="334">
        <v>269</v>
      </c>
    </row>
    <row r="18" spans="1:6">
      <c r="A18" s="348" t="s">
        <v>8</v>
      </c>
      <c r="B18" s="334">
        <v>726</v>
      </c>
    </row>
    <row r="19" spans="1:6">
      <c r="A19" s="348" t="s">
        <v>9</v>
      </c>
      <c r="B19" s="334">
        <v>811</v>
      </c>
    </row>
    <row r="20" spans="1:6">
      <c r="A20" s="348" t="s">
        <v>10</v>
      </c>
      <c r="B20" s="334">
        <v>423</v>
      </c>
    </row>
    <row r="21" spans="1:6">
      <c r="A21" s="348" t="s">
        <v>11</v>
      </c>
      <c r="B21" s="334">
        <v>8113</v>
      </c>
    </row>
    <row r="22" spans="1:6">
      <c r="A22" s="348" t="s">
        <v>12</v>
      </c>
      <c r="B22" s="334">
        <v>9747</v>
      </c>
    </row>
    <row r="23" spans="1:6">
      <c r="A23" s="348" t="s">
        <v>13</v>
      </c>
      <c r="B23" s="334">
        <v>115</v>
      </c>
    </row>
    <row r="24" spans="1:6">
      <c r="A24" s="348" t="s">
        <v>14</v>
      </c>
      <c r="B24" s="334">
        <v>9</v>
      </c>
    </row>
    <row r="25" spans="1:6">
      <c r="A25" s="348" t="s">
        <v>15</v>
      </c>
      <c r="B25" s="334">
        <v>938</v>
      </c>
    </row>
    <row r="26" spans="1:6">
      <c r="A26" s="348" t="s">
        <v>16</v>
      </c>
      <c r="B26" s="334">
        <v>9</v>
      </c>
    </row>
    <row r="27" spans="1:6">
      <c r="A27" s="348" t="s">
        <v>17</v>
      </c>
      <c r="B27" s="334">
        <v>0</v>
      </c>
    </row>
    <row r="28" spans="1:6" s="356" customFormat="1">
      <c r="A28" s="355" t="s">
        <v>18</v>
      </c>
      <c r="B28" s="355">
        <v>285963</v>
      </c>
    </row>
    <row r="29" spans="1:6">
      <c r="A29" s="355" t="s">
        <v>744</v>
      </c>
      <c r="B29" s="355">
        <v>63</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909731.34326783195</v>
      </c>
      <c r="E38" s="334">
        <v>5</v>
      </c>
      <c r="F38" s="334">
        <v>48081.383659370302</v>
      </c>
    </row>
    <row r="39" spans="1:6">
      <c r="A39" s="348" t="s">
        <v>30</v>
      </c>
      <c r="B39" s="348" t="s">
        <v>31</v>
      </c>
      <c r="C39" s="334">
        <v>4011</v>
      </c>
      <c r="D39" s="334">
        <v>85245349.749027506</v>
      </c>
      <c r="E39" s="334">
        <v>5266</v>
      </c>
      <c r="F39" s="334">
        <v>21224871.273860801</v>
      </c>
    </row>
    <row r="40" spans="1:6">
      <c r="A40" s="348" t="s">
        <v>30</v>
      </c>
      <c r="B40" s="348" t="s">
        <v>29</v>
      </c>
      <c r="C40" s="334">
        <v>1</v>
      </c>
      <c r="D40" s="334">
        <v>370611.266987462</v>
      </c>
      <c r="E40" s="334">
        <v>1</v>
      </c>
      <c r="F40" s="334">
        <v>65033.010342141002</v>
      </c>
    </row>
    <row r="41" spans="1:6">
      <c r="A41" s="348" t="s">
        <v>32</v>
      </c>
      <c r="B41" s="348" t="s">
        <v>33</v>
      </c>
      <c r="C41" s="334">
        <v>48</v>
      </c>
      <c r="D41" s="334">
        <v>1281408.71348925</v>
      </c>
      <c r="E41" s="334">
        <v>95</v>
      </c>
      <c r="F41" s="334">
        <v>833028.83476247895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61048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936234.25127983803</v>
      </c>
      <c r="E48" s="334">
        <v>26</v>
      </c>
      <c r="F48" s="334">
        <v>702449.95258025499</v>
      </c>
    </row>
    <row r="49" spans="1:6">
      <c r="A49" s="348" t="s">
        <v>32</v>
      </c>
      <c r="B49" s="348" t="s">
        <v>40</v>
      </c>
      <c r="C49" s="334">
        <v>0</v>
      </c>
      <c r="D49" s="334">
        <v>0</v>
      </c>
      <c r="E49" s="334">
        <v>0</v>
      </c>
      <c r="F49" s="334">
        <v>0</v>
      </c>
    </row>
    <row r="50" spans="1:6">
      <c r="A50" s="348" t="s">
        <v>32</v>
      </c>
      <c r="B50" s="348" t="s">
        <v>41</v>
      </c>
      <c r="C50" s="334">
        <v>6</v>
      </c>
      <c r="D50" s="334">
        <v>668648.15611474705</v>
      </c>
      <c r="E50" s="334">
        <v>8</v>
      </c>
      <c r="F50" s="334">
        <v>357369.75059777399</v>
      </c>
    </row>
    <row r="51" spans="1:6">
      <c r="A51" s="348" t="s">
        <v>42</v>
      </c>
      <c r="B51" s="348" t="s">
        <v>43</v>
      </c>
      <c r="C51" s="334">
        <v>3</v>
      </c>
      <c r="D51" s="334">
        <v>1445118.13590367</v>
      </c>
      <c r="E51" s="334">
        <v>62</v>
      </c>
      <c r="F51" s="334">
        <v>2502572.7687271098</v>
      </c>
    </row>
    <row r="52" spans="1:6">
      <c r="A52" s="348" t="s">
        <v>42</v>
      </c>
      <c r="B52" s="348" t="s">
        <v>29</v>
      </c>
      <c r="C52" s="334">
        <v>5</v>
      </c>
      <c r="D52" s="334">
        <v>31500488.021292701</v>
      </c>
      <c r="E52" s="334">
        <v>4</v>
      </c>
      <c r="F52" s="334">
        <v>43705.730685907401</v>
      </c>
    </row>
    <row r="53" spans="1:6">
      <c r="A53" s="348" t="s">
        <v>44</v>
      </c>
      <c r="B53" s="348" t="s">
        <v>45</v>
      </c>
      <c r="C53" s="334">
        <v>64</v>
      </c>
      <c r="D53" s="334">
        <v>1187105.6276125901</v>
      </c>
      <c r="E53" s="334">
        <v>152</v>
      </c>
      <c r="F53" s="334">
        <v>662130.57462312502</v>
      </c>
    </row>
    <row r="54" spans="1:6">
      <c r="A54" s="348" t="s">
        <v>46</v>
      </c>
      <c r="B54" s="348" t="s">
        <v>47</v>
      </c>
      <c r="C54" s="334">
        <v>0</v>
      </c>
      <c r="D54" s="334">
        <v>0</v>
      </c>
      <c r="E54" s="334">
        <v>1</v>
      </c>
      <c r="F54" s="334">
        <v>717249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1371856.6004655501</v>
      </c>
      <c r="E57" s="334">
        <v>81</v>
      </c>
      <c r="F57" s="334">
        <v>3393616.7981106401</v>
      </c>
    </row>
    <row r="58" spans="1:6">
      <c r="A58" s="348" t="s">
        <v>49</v>
      </c>
      <c r="B58" s="348" t="s">
        <v>51</v>
      </c>
      <c r="C58" s="334">
        <v>22</v>
      </c>
      <c r="D58" s="334">
        <v>808226.77157566603</v>
      </c>
      <c r="E58" s="334">
        <v>25</v>
      </c>
      <c r="F58" s="334">
        <v>181466.17848750501</v>
      </c>
    </row>
    <row r="59" spans="1:6">
      <c r="A59" s="348" t="s">
        <v>49</v>
      </c>
      <c r="B59" s="348" t="s">
        <v>52</v>
      </c>
      <c r="C59" s="334">
        <v>68</v>
      </c>
      <c r="D59" s="334">
        <v>2947136.8858139501</v>
      </c>
      <c r="E59" s="334">
        <v>107</v>
      </c>
      <c r="F59" s="334">
        <v>2617291.97490795</v>
      </c>
    </row>
    <row r="60" spans="1:6">
      <c r="A60" s="348" t="s">
        <v>49</v>
      </c>
      <c r="B60" s="348" t="s">
        <v>53</v>
      </c>
      <c r="C60" s="334">
        <v>38</v>
      </c>
      <c r="D60" s="334">
        <v>1806608.60922597</v>
      </c>
      <c r="E60" s="334">
        <v>52</v>
      </c>
      <c r="F60" s="334">
        <v>1648705.8946418499</v>
      </c>
    </row>
    <row r="61" spans="1:6">
      <c r="A61" s="348" t="s">
        <v>49</v>
      </c>
      <c r="B61" s="348" t="s">
        <v>54</v>
      </c>
      <c r="C61" s="334">
        <v>105</v>
      </c>
      <c r="D61" s="334">
        <v>5354376.8314547697</v>
      </c>
      <c r="E61" s="334">
        <v>185</v>
      </c>
      <c r="F61" s="334">
        <v>2539327.3499363498</v>
      </c>
    </row>
    <row r="62" spans="1:6">
      <c r="A62" s="348" t="s">
        <v>49</v>
      </c>
      <c r="B62" s="348" t="s">
        <v>55</v>
      </c>
      <c r="C62" s="334">
        <v>6</v>
      </c>
      <c r="D62" s="334">
        <v>2014680.1969669799</v>
      </c>
      <c r="E62" s="334">
        <v>5</v>
      </c>
      <c r="F62" s="334">
        <v>521194.46175323799</v>
      </c>
    </row>
    <row r="63" spans="1:6">
      <c r="A63" s="348" t="s">
        <v>49</v>
      </c>
      <c r="B63" s="348" t="s">
        <v>29</v>
      </c>
      <c r="C63" s="334">
        <v>86</v>
      </c>
      <c r="D63" s="334">
        <v>4741792.3453259701</v>
      </c>
      <c r="E63" s="334">
        <v>92</v>
      </c>
      <c r="F63" s="334">
        <v>2484830.9265177902</v>
      </c>
    </row>
    <row r="64" spans="1:6">
      <c r="A64" s="348" t="s">
        <v>56</v>
      </c>
      <c r="B64" s="348" t="s">
        <v>57</v>
      </c>
      <c r="C64" s="334">
        <v>0</v>
      </c>
      <c r="D64" s="334">
        <v>0</v>
      </c>
      <c r="E64" s="334">
        <v>0</v>
      </c>
      <c r="F64" s="334">
        <v>0</v>
      </c>
    </row>
    <row r="65" spans="1:6">
      <c r="A65" s="348" t="s">
        <v>56</v>
      </c>
      <c r="B65" s="348" t="s">
        <v>29</v>
      </c>
      <c r="C65" s="334">
        <v>2</v>
      </c>
      <c r="D65" s="334">
        <v>41815.556972715698</v>
      </c>
      <c r="E65" s="334">
        <v>4</v>
      </c>
      <c r="F65" s="334">
        <v>23113.8522959927</v>
      </c>
    </row>
    <row r="66" spans="1:6">
      <c r="A66" s="348" t="s">
        <v>56</v>
      </c>
      <c r="B66" s="348" t="s">
        <v>58</v>
      </c>
      <c r="C66" s="334">
        <v>0</v>
      </c>
      <c r="D66" s="334">
        <v>0</v>
      </c>
      <c r="E66" s="334">
        <v>5</v>
      </c>
      <c r="F66" s="334">
        <v>166444.53679126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40564609</v>
      </c>
      <c r="E73" s="476">
        <v>41004183.490391828</v>
      </c>
    </row>
    <row r="74" spans="1:6">
      <c r="A74" s="348" t="s">
        <v>64</v>
      </c>
      <c r="B74" s="348" t="s">
        <v>657</v>
      </c>
      <c r="C74" s="1272" t="s">
        <v>659</v>
      </c>
      <c r="D74" s="476">
        <v>1997958.5169482913</v>
      </c>
      <c r="E74" s="476">
        <v>2029933.5095148659</v>
      </c>
    </row>
    <row r="75" spans="1:6">
      <c r="A75" s="348" t="s">
        <v>65</v>
      </c>
      <c r="B75" s="348" t="s">
        <v>656</v>
      </c>
      <c r="C75" s="1272" t="s">
        <v>660</v>
      </c>
      <c r="D75" s="476">
        <v>15590923</v>
      </c>
      <c r="E75" s="476">
        <v>15764110.539618583</v>
      </c>
    </row>
    <row r="76" spans="1:6">
      <c r="A76" s="348" t="s">
        <v>65</v>
      </c>
      <c r="B76" s="348" t="s">
        <v>657</v>
      </c>
      <c r="C76" s="1272" t="s">
        <v>661</v>
      </c>
      <c r="D76" s="476">
        <v>16571.3</v>
      </c>
      <c r="E76" s="476">
        <v>16588.229737247555</v>
      </c>
    </row>
    <row r="77" spans="1:6">
      <c r="A77" s="348" t="s">
        <v>66</v>
      </c>
      <c r="B77" s="348" t="s">
        <v>656</v>
      </c>
      <c r="C77" s="1272" t="s">
        <v>662</v>
      </c>
      <c r="D77" s="476">
        <v>64310280</v>
      </c>
      <c r="E77" s="476">
        <v>64831624.938001297</v>
      </c>
    </row>
    <row r="78" spans="1:6">
      <c r="A78" s="341" t="s">
        <v>66</v>
      </c>
      <c r="B78" s="341" t="s">
        <v>657</v>
      </c>
      <c r="C78" s="341" t="s">
        <v>663</v>
      </c>
      <c r="D78" s="1273">
        <v>19993387</v>
      </c>
      <c r="E78" s="1273">
        <v>20385539.906921089</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368614.96610341739</v>
      </c>
      <c r="C83" s="476">
        <v>370237.32810575148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27729.892099744768</v>
      </c>
    </row>
    <row r="91" spans="1:6">
      <c r="A91" s="348" t="s">
        <v>68</v>
      </c>
      <c r="B91" s="334">
        <v>3463.5602726857223</v>
      </c>
    </row>
    <row r="92" spans="1:6">
      <c r="A92" s="341" t="s">
        <v>69</v>
      </c>
      <c r="B92" s="342">
        <v>1284.0019301748364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2401</v>
      </c>
    </row>
    <row r="98" spans="1:6">
      <c r="A98" s="348" t="s">
        <v>72</v>
      </c>
      <c r="B98" s="334">
        <v>5</v>
      </c>
    </row>
    <row r="99" spans="1:6">
      <c r="A99" s="348" t="s">
        <v>73</v>
      </c>
      <c r="B99" s="334">
        <v>47</v>
      </c>
    </row>
    <row r="100" spans="1:6">
      <c r="A100" s="348" t="s">
        <v>74</v>
      </c>
      <c r="B100" s="334">
        <v>151</v>
      </c>
    </row>
    <row r="101" spans="1:6">
      <c r="A101" s="348" t="s">
        <v>75</v>
      </c>
      <c r="B101" s="334">
        <v>98</v>
      </c>
    </row>
    <row r="102" spans="1:6">
      <c r="A102" s="348" t="s">
        <v>76</v>
      </c>
      <c r="B102" s="334">
        <v>50</v>
      </c>
    </row>
    <row r="103" spans="1:6">
      <c r="A103" s="348" t="s">
        <v>77</v>
      </c>
      <c r="B103" s="334">
        <v>89</v>
      </c>
    </row>
    <row r="104" spans="1:6">
      <c r="A104" s="348" t="s">
        <v>78</v>
      </c>
      <c r="B104" s="334">
        <v>1664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36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4</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43404.713828198255</v>
      </c>
      <c r="C3" s="43" t="s">
        <v>170</v>
      </c>
      <c r="D3" s="43"/>
      <c r="E3" s="154"/>
      <c r="F3" s="43"/>
      <c r="G3" s="43"/>
      <c r="H3" s="43"/>
      <c r="I3" s="43"/>
      <c r="J3" s="43"/>
      <c r="K3" s="96"/>
    </row>
    <row r="4" spans="1:11">
      <c r="A4" s="383" t="s">
        <v>171</v>
      </c>
      <c r="B4" s="49">
        <f>IF(ISERROR('SEAP template'!B69),0,'SEAP template'!B69)</f>
        <v>44537.454302605329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2866.0235294117656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6.4350860961626857E-2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4094.3193277310938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17228.571428571428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0.23764705882352952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717.24900000000002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717.24900000000002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6.4350860961626857E-2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46.155590673865902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21289.904284202941</v>
      </c>
      <c r="C5" s="17">
        <f>IF(ISERROR('Eigen informatie GS &amp; warmtenet'!B57),0,'Eigen informatie GS &amp; warmtenet'!B57)</f>
        <v>0</v>
      </c>
      <c r="D5" s="30">
        <f>(SUM(HH_hh_gas_kWh,HH_rest_gas_kWh)/1000)*0.902</f>
        <v>77225.596836445489</v>
      </c>
      <c r="E5" s="17">
        <f>B46*B57</f>
        <v>3556.6577140340596</v>
      </c>
      <c r="F5" s="17">
        <f>B51*B62</f>
        <v>5542.6821699438078</v>
      </c>
      <c r="G5" s="18"/>
      <c r="H5" s="17"/>
      <c r="I5" s="17"/>
      <c r="J5" s="17">
        <f>B50*B61+C50*C61</f>
        <v>0</v>
      </c>
      <c r="K5" s="17"/>
      <c r="L5" s="17"/>
      <c r="M5" s="17"/>
      <c r="N5" s="17">
        <f>B48*B59+C48*C59</f>
        <v>25273.35847297755</v>
      </c>
      <c r="O5" s="17">
        <f>B69*B70*B71</f>
        <v>281.40000000000003</v>
      </c>
      <c r="P5" s="17">
        <f>B77*B78*B79/1000-B77*B78*B79/1000/B80</f>
        <v>953.33333333333326</v>
      </c>
    </row>
    <row r="6" spans="1:16">
      <c r="A6" s="16" t="s">
        <v>621</v>
      </c>
      <c r="B6" s="843">
        <f>kWh_PV_kleiner_dan_10kW</f>
        <v>3463.5602726857223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24753.464556888663</v>
      </c>
      <c r="C8" s="21">
        <f>C5</f>
        <v>0</v>
      </c>
      <c r="D8" s="21">
        <f>D5</f>
        <v>77225.596836445489</v>
      </c>
      <c r="E8" s="21">
        <f>E5</f>
        <v>3556.6577140340596</v>
      </c>
      <c r="F8" s="21">
        <f>F5</f>
        <v>5542.6821699438078</v>
      </c>
      <c r="G8" s="21"/>
      <c r="H8" s="21"/>
      <c r="I8" s="21"/>
      <c r="J8" s="21">
        <f>J5</f>
        <v>0</v>
      </c>
      <c r="K8" s="21"/>
      <c r="L8" s="21">
        <f>L5</f>
        <v>0</v>
      </c>
      <c r="M8" s="21">
        <f>M5</f>
        <v>0</v>
      </c>
      <c r="N8" s="21">
        <f>N5</f>
        <v>25273.35847297755</v>
      </c>
      <c r="O8" s="21">
        <f>O5</f>
        <v>281.40000000000003</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6.4350860961626857E-2</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1592.9067560189008</v>
      </c>
      <c r="C12" s="23">
        <f ca="1">C10*C8</f>
        <v>0</v>
      </c>
      <c r="D12" s="23">
        <f>D8*D10</f>
        <v>15599.570560961989</v>
      </c>
      <c r="E12" s="23">
        <f>E10*E8</f>
        <v>807.36130108573161</v>
      </c>
      <c r="F12" s="23">
        <f>F10*F8</f>
        <v>1479.8961393749967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2401</v>
      </c>
      <c r="C18" s="166" t="s">
        <v>111</v>
      </c>
      <c r="D18" s="228"/>
      <c r="E18" s="15"/>
    </row>
    <row r="19" spans="1:7">
      <c r="A19" s="171" t="s">
        <v>72</v>
      </c>
      <c r="B19" s="37">
        <f>aantalw2001_ander</f>
        <v>5</v>
      </c>
      <c r="C19" s="166" t="s">
        <v>111</v>
      </c>
      <c r="D19" s="229"/>
      <c r="E19" s="15"/>
    </row>
    <row r="20" spans="1:7">
      <c r="A20" s="171" t="s">
        <v>73</v>
      </c>
      <c r="B20" s="37">
        <f>aantalw2001_propaan</f>
        <v>47</v>
      </c>
      <c r="C20" s="167">
        <f>IF(ISERROR(B20/SUM($B$20,$B$21,$B$22)*100),0,B20/SUM($B$20,$B$21,$B$22)*100)</f>
        <v>15.878378378378377</v>
      </c>
      <c r="D20" s="229"/>
      <c r="E20" s="15"/>
    </row>
    <row r="21" spans="1:7">
      <c r="A21" s="171" t="s">
        <v>74</v>
      </c>
      <c r="B21" s="37">
        <f>aantalw2001_elektriciteit</f>
        <v>151</v>
      </c>
      <c r="C21" s="167">
        <f>IF(ISERROR(B21/SUM($B$20,$B$21,$B$22)*100),0,B21/SUM($B$20,$B$21,$B$22)*100)</f>
        <v>51.013513513513509</v>
      </c>
      <c r="D21" s="229"/>
      <c r="E21" s="15"/>
    </row>
    <row r="22" spans="1:7">
      <c r="A22" s="171" t="s">
        <v>75</v>
      </c>
      <c r="B22" s="37">
        <f>aantalw2001_hout</f>
        <v>98</v>
      </c>
      <c r="C22" s="167">
        <f>IF(ISERROR(B22/SUM($B$20,$B$21,$B$22)*100),0,B22/SUM($B$20,$B$21,$B$22)*100)</f>
        <v>33.108108108108105</v>
      </c>
      <c r="D22" s="229"/>
      <c r="E22" s="15"/>
    </row>
    <row r="23" spans="1:7">
      <c r="A23" s="171" t="s">
        <v>76</v>
      </c>
      <c r="B23" s="37">
        <f>aantalw2001_niet_gespec</f>
        <v>50</v>
      </c>
      <c r="C23" s="166" t="s">
        <v>111</v>
      </c>
      <c r="D23" s="228"/>
      <c r="E23" s="15"/>
    </row>
    <row r="24" spans="1:7">
      <c r="A24" s="171" t="s">
        <v>77</v>
      </c>
      <c r="B24" s="37">
        <f>aantalw2001_steenkool</f>
        <v>89</v>
      </c>
      <c r="C24" s="166" t="s">
        <v>111</v>
      </c>
      <c r="D24" s="229"/>
      <c r="E24" s="15"/>
    </row>
    <row r="25" spans="1:7">
      <c r="A25" s="171" t="s">
        <v>78</v>
      </c>
      <c r="B25" s="37">
        <f>aantalw2001_stookolie</f>
        <v>1664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5334</v>
      </c>
      <c r="C28" s="36"/>
      <c r="D28" s="228"/>
    </row>
    <row r="29" spans="1:7" s="15" customFormat="1">
      <c r="A29" s="230" t="s">
        <v>795</v>
      </c>
      <c r="B29" s="37">
        <f>SUM(HH_hh_gas_aantal,HH_rest_gas_aantal)</f>
        <v>4012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4012</v>
      </c>
      <c r="C32" s="167">
        <f>IF(ISERROR(B32/SUM($B$32,$B$34,$B$35,$B$36,$B$38,$B$39)*100),0,B32/SUM($B$32,$B$34,$B$35,$B$36,$B$38,$B$39)*100)</f>
        <v>75.927327781983351</v>
      </c>
      <c r="D32" s="233"/>
      <c r="G32" s="15"/>
    </row>
    <row r="33" spans="1:7">
      <c r="A33" s="171" t="s">
        <v>72</v>
      </c>
      <c r="B33" s="34" t="s">
        <v>111</v>
      </c>
      <c r="C33" s="167"/>
      <c r="D33" s="233"/>
      <c r="G33" s="15"/>
    </row>
    <row r="34" spans="1:7">
      <c r="A34" s="171" t="s">
        <v>73</v>
      </c>
      <c r="B34" s="33">
        <f>IF((($B$28-$B$32-$B$39-$B$77-$B$38)*C20/100)&lt;0,0,($B$28-$B$32-$B$39-$B$77-$B$38)*C20/100)</f>
        <v>167.97736486486485</v>
      </c>
      <c r="C34" s="167">
        <f>IF(ISERROR(B34/SUM($B$32,$B$34,$B$35,$B$36,$B$38,$B$39)*100),0,B34/SUM($B$32,$B$34,$B$35,$B$36,$B$38,$B$39)*100)</f>
        <v>3.1789811670110684</v>
      </c>
      <c r="D34" s="233"/>
      <c r="G34" s="15"/>
    </row>
    <row r="35" spans="1:7">
      <c r="A35" s="171" t="s">
        <v>74</v>
      </c>
      <c r="B35" s="33">
        <f>IF((($B$28-$B$32-$B$39-$B$77-$B$38)*C21/100)&lt;0,0,($B$28-$B$32-$B$39-$B$77-$B$38)*C21/100)</f>
        <v>539.67195945945946</v>
      </c>
      <c r="C35" s="167">
        <f>IF(ISERROR(B35/SUM($B$32,$B$34,$B$35,$B$36,$B$38,$B$39)*100),0,B35/SUM($B$32,$B$34,$B$35,$B$36,$B$38,$B$39)*100)</f>
        <v>10.213322472737689</v>
      </c>
      <c r="D35" s="233"/>
      <c r="G35" s="15"/>
    </row>
    <row r="36" spans="1:7">
      <c r="A36" s="171" t="s">
        <v>75</v>
      </c>
      <c r="B36" s="33">
        <f>IF((($B$28-$B$32-$B$39-$B$77-$B$38)*C22/100)&lt;0,0,($B$28-$B$32-$B$39-$B$77-$B$38)*C22/100)</f>
        <v>350.25067567567567</v>
      </c>
      <c r="C36" s="167">
        <f>IF(ISERROR(B36/SUM($B$32,$B$34,$B$35,$B$36,$B$38,$B$39)*100),0,B36/SUM($B$32,$B$34,$B$35,$B$36,$B$38,$B$39)*100)</f>
        <v>6.62851392270393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214.09999999999991</v>
      </c>
      <c r="C39" s="167">
        <f>IF(ISERROR(B39/SUM($B$32,$B$34,$B$35,$B$36,$B$38,$B$39)*100),0,B39/SUM($B$32,$B$34,$B$35,$B$36,$B$38,$B$39)*100)</f>
        <v>4.0518546555639645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4012</v>
      </c>
      <c r="C44" s="34" t="s">
        <v>111</v>
      </c>
      <c r="D44" s="174"/>
    </row>
    <row r="45" spans="1:7">
      <c r="A45" s="171" t="s">
        <v>72</v>
      </c>
      <c r="B45" s="33" t="str">
        <f t="shared" si="0"/>
        <v>-</v>
      </c>
      <c r="C45" s="34" t="s">
        <v>111</v>
      </c>
      <c r="D45" s="174"/>
    </row>
    <row r="46" spans="1:7">
      <c r="A46" s="171" t="s">
        <v>73</v>
      </c>
      <c r="B46" s="33">
        <f t="shared" si="0"/>
        <v>167.97736486486485</v>
      </c>
      <c r="C46" s="34" t="s">
        <v>111</v>
      </c>
      <c r="D46" s="174"/>
    </row>
    <row r="47" spans="1:7">
      <c r="A47" s="171" t="s">
        <v>74</v>
      </c>
      <c r="B47" s="33">
        <f t="shared" si="0"/>
        <v>539.67195945945946</v>
      </c>
      <c r="C47" s="34" t="s">
        <v>111</v>
      </c>
      <c r="D47" s="174"/>
    </row>
    <row r="48" spans="1:7">
      <c r="A48" s="171" t="s">
        <v>75</v>
      </c>
      <c r="B48" s="33">
        <f t="shared" si="0"/>
        <v>350.25067567567567</v>
      </c>
      <c r="C48" s="33">
        <f>B48*10</f>
        <v>3502.5067567567567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214.09999999999991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13386.433584355324</v>
      </c>
      <c r="C5" s="17">
        <f>IF(ISERROR('Eigen informatie GS &amp; warmtenet'!B58),0,'Eigen informatie GS &amp; warmtenet'!B58)</f>
        <v>0</v>
      </c>
      <c r="D5" s="30">
        <f>SUM(D6:D12)</f>
        <v>17178.299773227627</v>
      </c>
      <c r="E5" s="17">
        <f>SUM(E6:E12)</f>
        <v>161.33096974428634</v>
      </c>
      <c r="F5" s="17">
        <f>SUM(F6:F12)</f>
        <v>2530.3760317843894</v>
      </c>
      <c r="G5" s="18"/>
      <c r="H5" s="17"/>
      <c r="I5" s="17"/>
      <c r="J5" s="17">
        <f>SUM(J6:J12)</f>
        <v>7.9679198873488122E-2</v>
      </c>
      <c r="K5" s="17"/>
      <c r="L5" s="17"/>
      <c r="M5" s="17"/>
      <c r="N5" s="17">
        <f>SUM(N6:N12)</f>
        <v>3133.1857750135509</v>
      </c>
      <c r="O5" s="17">
        <f>B38*B39*B40</f>
        <v>6.2533333333333339</v>
      </c>
      <c r="P5" s="17">
        <f>B46*B47*B48/1000-B46*B47*B48/1000/B49</f>
        <v>38.133333333333333</v>
      </c>
      <c r="R5" s="32"/>
    </row>
    <row r="6" spans="1:18">
      <c r="A6" s="32" t="s">
        <v>54</v>
      </c>
      <c r="B6" s="37">
        <f>B26</f>
        <v>2539.3273499363499</v>
      </c>
      <c r="C6" s="33"/>
      <c r="D6" s="37">
        <f>IF(ISERROR(TER_kantoor_gas_kWh/1000),0,TER_kantoor_gas_kWh/1000)*0.902</f>
        <v>4829.6479019722028</v>
      </c>
      <c r="E6" s="33">
        <f>$C$26*'E Balans VL '!I12/100/3.6*1000000</f>
        <v>1.5915659262355785E-2</v>
      </c>
      <c r="F6" s="33">
        <f>$C$26*('E Balans VL '!L12+'E Balans VL '!N12)/100/3.6*1000000</f>
        <v>381.5899451219762</v>
      </c>
      <c r="G6" s="34"/>
      <c r="H6" s="33"/>
      <c r="I6" s="33"/>
      <c r="J6" s="33">
        <f>$C$26*('E Balans VL '!D12+'E Balans VL '!E12)/100/3.6*1000000</f>
        <v>0</v>
      </c>
      <c r="K6" s="33"/>
      <c r="L6" s="33"/>
      <c r="M6" s="33"/>
      <c r="N6" s="33">
        <f>$C$26*'E Balans VL '!Y12/100/3.6*1000000</f>
        <v>2.4284901136161863</v>
      </c>
      <c r="O6" s="33"/>
      <c r="P6" s="33"/>
      <c r="R6" s="32"/>
    </row>
    <row r="7" spans="1:18">
      <c r="A7" s="32" t="s">
        <v>53</v>
      </c>
      <c r="B7" s="37">
        <f t="shared" ref="B7:B12" si="0">B27</f>
        <v>1648.7058946418499</v>
      </c>
      <c r="C7" s="33"/>
      <c r="D7" s="37">
        <f>IF(ISERROR(TER_horeca_gas_kWh/1000),0,TER_horeca_gas_kWh/1000)*0.902</f>
        <v>1629.560965521825</v>
      </c>
      <c r="E7" s="33">
        <f>$C$27*'E Balans VL '!I9/100/3.6*1000000</f>
        <v>23.609193789294061</v>
      </c>
      <c r="F7" s="33">
        <f>$C$27*('E Balans VL '!L9+'E Balans VL '!N9)/100/3.6*1000000</f>
        <v>208.78054267696183</v>
      </c>
      <c r="G7" s="34"/>
      <c r="H7" s="33"/>
      <c r="I7" s="33"/>
      <c r="J7" s="33">
        <f>$C$27*('E Balans VL '!D9+'E Balans VL '!E9)/100/3.6*1000000</f>
        <v>0</v>
      </c>
      <c r="K7" s="33"/>
      <c r="L7" s="33"/>
      <c r="M7" s="33"/>
      <c r="N7" s="33">
        <f>$C$27*'E Balans VL '!Y9/100/3.6*1000000</f>
        <v>0.47396659386489931</v>
      </c>
      <c r="O7" s="33"/>
      <c r="P7" s="33"/>
      <c r="R7" s="32"/>
    </row>
    <row r="8" spans="1:18">
      <c r="A8" s="6" t="s">
        <v>52</v>
      </c>
      <c r="B8" s="37">
        <f t="shared" si="0"/>
        <v>2617.2919749079501</v>
      </c>
      <c r="C8" s="33"/>
      <c r="D8" s="37">
        <f>IF(ISERROR(TER_handel_gas_kWh/1000),0,TER_handel_gas_kWh/1000)*0.902</f>
        <v>2658.3174710041831</v>
      </c>
      <c r="E8" s="33">
        <f>$C$28*'E Balans VL '!I13/100/3.6*1000000</f>
        <v>94.928857179924705</v>
      </c>
      <c r="F8" s="33">
        <f>$C$28*('E Balans VL '!L13+'E Balans VL '!N13)/100/3.6*1000000</f>
        <v>504.11693613344687</v>
      </c>
      <c r="G8" s="34"/>
      <c r="H8" s="33"/>
      <c r="I8" s="33"/>
      <c r="J8" s="33">
        <f>$C$28*('E Balans VL '!D13+'E Balans VL '!E13)/100/3.6*1000000</f>
        <v>0</v>
      </c>
      <c r="K8" s="33"/>
      <c r="L8" s="33"/>
      <c r="M8" s="33"/>
      <c r="N8" s="33">
        <f>$C$28*'E Balans VL '!Y13/100/3.6*1000000</f>
        <v>3.6255515972730863</v>
      </c>
      <c r="O8" s="33"/>
      <c r="P8" s="33"/>
      <c r="R8" s="32"/>
    </row>
    <row r="9" spans="1:18">
      <c r="A9" s="32" t="s">
        <v>51</v>
      </c>
      <c r="B9" s="37">
        <f t="shared" si="0"/>
        <v>181.466178487505</v>
      </c>
      <c r="C9" s="33"/>
      <c r="D9" s="37">
        <f>IF(ISERROR(TER_gezond_gas_kWh/1000),0,TER_gezond_gas_kWh/1000)*0.902</f>
        <v>729.02054796125083</v>
      </c>
      <c r="E9" s="33">
        <f>$C$29*'E Balans VL '!I10/100/3.6*1000000</f>
        <v>1.1361574428149215E-2</v>
      </c>
      <c r="F9" s="33">
        <f>$C$29*('E Balans VL '!L10+'E Balans VL '!N10)/100/3.6*1000000</f>
        <v>26.957353326213909</v>
      </c>
      <c r="G9" s="34"/>
      <c r="H9" s="33"/>
      <c r="I9" s="33"/>
      <c r="J9" s="33">
        <f>$C$29*('E Balans VL '!D10+'E Balans VL '!E10)/100/3.6*1000000</f>
        <v>0</v>
      </c>
      <c r="K9" s="33"/>
      <c r="L9" s="33"/>
      <c r="M9" s="33"/>
      <c r="N9" s="33">
        <f>$C$29*'E Balans VL '!Y10/100/3.6*1000000</f>
        <v>2.8069363588341947</v>
      </c>
      <c r="O9" s="33"/>
      <c r="P9" s="33"/>
      <c r="R9" s="32"/>
    </row>
    <row r="10" spans="1:18">
      <c r="A10" s="32" t="s">
        <v>50</v>
      </c>
      <c r="B10" s="37">
        <f t="shared" si="0"/>
        <v>3393.61679811064</v>
      </c>
      <c r="C10" s="33"/>
      <c r="D10" s="37">
        <f>IF(ISERROR(TER_ander_gas_kWh/1000),0,TER_ander_gas_kWh/1000)*0.902</f>
        <v>1237.4146536199262</v>
      </c>
      <c r="E10" s="33">
        <f>$C$30*'E Balans VL '!I14/100/3.6*1000000</f>
        <v>4.0450699559741041</v>
      </c>
      <c r="F10" s="33">
        <f>$C$30*('E Balans VL '!L14+'E Balans VL '!N14)/100/3.6*1000000</f>
        <v>887.92102273891294</v>
      </c>
      <c r="G10" s="34"/>
      <c r="H10" s="33"/>
      <c r="I10" s="33"/>
      <c r="J10" s="33">
        <f>$C$30*('E Balans VL '!D14+'E Balans VL '!E14)/100/3.6*1000000</f>
        <v>7.3662118076444558E-2</v>
      </c>
      <c r="K10" s="33"/>
      <c r="L10" s="33"/>
      <c r="M10" s="33"/>
      <c r="N10" s="33">
        <f>$C$30*'E Balans VL '!Y14/100/3.6*1000000</f>
        <v>2881.7763443213862</v>
      </c>
      <c r="O10" s="33"/>
      <c r="P10" s="33"/>
      <c r="R10" s="32"/>
    </row>
    <row r="11" spans="1:18">
      <c r="A11" s="32" t="s">
        <v>55</v>
      </c>
      <c r="B11" s="37">
        <f t="shared" si="0"/>
        <v>521.19446175323799</v>
      </c>
      <c r="C11" s="33"/>
      <c r="D11" s="37">
        <f>IF(ISERROR(TER_onderwijs_gas_kWh/1000),0,TER_onderwijs_gas_kWh/1000)*0.902</f>
        <v>1817.2415376642159</v>
      </c>
      <c r="E11" s="33">
        <f>$C$31*'E Balans VL '!I11/100/3.6*1000000</f>
        <v>7.8639849643513786</v>
      </c>
      <c r="F11" s="33">
        <f>$C$31*('E Balans VL '!L11+'E Balans VL '!N11)/100/3.6*1000000</f>
        <v>91.321596028399313</v>
      </c>
      <c r="G11" s="34"/>
      <c r="H11" s="33"/>
      <c r="I11" s="33"/>
      <c r="J11" s="33">
        <f>$C$31*('E Balans VL '!D11+'E Balans VL '!E11)/100/3.6*1000000</f>
        <v>0</v>
      </c>
      <c r="K11" s="33"/>
      <c r="L11" s="33"/>
      <c r="M11" s="33"/>
      <c r="N11" s="33">
        <f>$C$31*'E Balans VL '!Y11/100/3.6*1000000</f>
        <v>1.4666808380855012</v>
      </c>
      <c r="O11" s="33"/>
      <c r="P11" s="33"/>
      <c r="R11" s="32"/>
    </row>
    <row r="12" spans="1:18">
      <c r="A12" s="32" t="s">
        <v>260</v>
      </c>
      <c r="B12" s="37">
        <f t="shared" si="0"/>
        <v>2484.83092651779</v>
      </c>
      <c r="C12" s="33"/>
      <c r="D12" s="37">
        <f>IF(ISERROR(TER_rest_gas_kWh/1000),0,TER_rest_gas_kWh/1000)*0.902</f>
        <v>4277.0966954840251</v>
      </c>
      <c r="E12" s="33">
        <f>$C$32*'E Balans VL '!I8/100/3.6*1000000</f>
        <v>30.856586621051569</v>
      </c>
      <c r="F12" s="33">
        <f>$C$32*('E Balans VL '!L8+'E Balans VL '!N8)/100/3.6*1000000</f>
        <v>429.68863575847854</v>
      </c>
      <c r="G12" s="34"/>
      <c r="H12" s="33"/>
      <c r="I12" s="33"/>
      <c r="J12" s="33">
        <f>$C$32*('E Balans VL '!D8+'E Balans VL '!E8)/100/3.6*1000000</f>
        <v>6.0170807970435633E-3</v>
      </c>
      <c r="K12" s="33"/>
      <c r="L12" s="33"/>
      <c r="M12" s="33"/>
      <c r="N12" s="33">
        <f>$C$32*'E Balans VL '!Y8/100/3.6*1000000</f>
        <v>240.60780519049058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13386.433584355324</v>
      </c>
      <c r="C16" s="21">
        <f t="shared" ca="1" si="1"/>
        <v>0</v>
      </c>
      <c r="D16" s="21">
        <f t="shared" ca="1" si="1"/>
        <v>17178.299773227627</v>
      </c>
      <c r="E16" s="21">
        <f t="shared" si="1"/>
        <v>161.33096974428634</v>
      </c>
      <c r="F16" s="21">
        <f t="shared" ca="1" si="1"/>
        <v>2530.3760317843894</v>
      </c>
      <c r="G16" s="21">
        <f t="shared" si="1"/>
        <v>0</v>
      </c>
      <c r="H16" s="21">
        <f t="shared" si="1"/>
        <v>0</v>
      </c>
      <c r="I16" s="21">
        <f t="shared" si="1"/>
        <v>0</v>
      </c>
      <c r="J16" s="21">
        <f t="shared" si="1"/>
        <v>7.9679198873488122E-2</v>
      </c>
      <c r="K16" s="21">
        <f t="shared" si="1"/>
        <v>0</v>
      </c>
      <c r="L16" s="21">
        <f t="shared" ca="1" si="1"/>
        <v>0</v>
      </c>
      <c r="M16" s="21">
        <f t="shared" si="1"/>
        <v>0</v>
      </c>
      <c r="N16" s="21">
        <f t="shared" ca="1" si="1"/>
        <v>3133.1857750135509</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6.4350860961626857E-2</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861.42852635890165</v>
      </c>
      <c r="C20" s="23">
        <f t="shared" ref="C20:P20" ca="1" si="2">C16*C18</f>
        <v>0</v>
      </c>
      <c r="D20" s="23">
        <f t="shared" ca="1" si="2"/>
        <v>3470.016554191981</v>
      </c>
      <c r="E20" s="23">
        <f t="shared" si="2"/>
        <v>36.622130131953</v>
      </c>
      <c r="F20" s="23">
        <f t="shared" ca="1" si="2"/>
        <v>675.61040048643201</v>
      </c>
      <c r="G20" s="23">
        <f t="shared" si="2"/>
        <v>0</v>
      </c>
      <c r="H20" s="23">
        <f t="shared" si="2"/>
        <v>0</v>
      </c>
      <c r="I20" s="23">
        <f t="shared" si="2"/>
        <v>0</v>
      </c>
      <c r="J20" s="23">
        <f t="shared" si="2"/>
        <v>2.8206436401214792E-2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2539.3273499363499</v>
      </c>
      <c r="C26" s="39">
        <f>IF(ISERROR(B26*3.6/1000000/'E Balans VL '!Z12*100),0,B26*3.6/1000000/'E Balans VL '!Z12*100)</f>
        <v>5.3677357558204776E-2</v>
      </c>
      <c r="D26" s="237" t="s">
        <v>754</v>
      </c>
      <c r="F26" s="6"/>
    </row>
    <row r="27" spans="1:18">
      <c r="A27" s="231" t="s">
        <v>53</v>
      </c>
      <c r="B27" s="33">
        <f>IF(ISERROR(TER_horeca_ele_kWh/1000),0,TER_horeca_ele_kWh/1000)</f>
        <v>1648.7058946418499</v>
      </c>
      <c r="C27" s="39">
        <f>IF(ISERROR(B27*3.6/1000000/'E Balans VL '!Z9*100),0,B27*3.6/1000000/'E Balans VL '!Z9*100)</f>
        <v>0.12996687117055852</v>
      </c>
      <c r="D27" s="237" t="s">
        <v>754</v>
      </c>
      <c r="F27" s="6"/>
    </row>
    <row r="28" spans="1:18">
      <c r="A28" s="171" t="s">
        <v>52</v>
      </c>
      <c r="B28" s="33">
        <f>IF(ISERROR(TER_handel_ele_kWh/1000),0,TER_handel_ele_kWh/1000)</f>
        <v>2617.2919749079501</v>
      </c>
      <c r="C28" s="39">
        <f>IF(ISERROR(B28*3.6/1000000/'E Balans VL '!Z13*100),0,B28*3.6/1000000/'E Balans VL '!Z13*100)</f>
        <v>7.5964388156405646E-2</v>
      </c>
      <c r="D28" s="237" t="s">
        <v>754</v>
      </c>
      <c r="F28" s="6"/>
    </row>
    <row r="29" spans="1:18">
      <c r="A29" s="231" t="s">
        <v>51</v>
      </c>
      <c r="B29" s="33">
        <f>IF(ISERROR(TER_gezond_ele_kWh/1000),0,TER_gezond_ele_kWh/1000)</f>
        <v>181.466178487505</v>
      </c>
      <c r="C29" s="39">
        <f>IF(ISERROR(B29*3.6/1000000/'E Balans VL '!Z10*100),0,B29*3.6/1000000/'E Balans VL '!Z10*100)</f>
        <v>1.9111368348039011E-2</v>
      </c>
      <c r="D29" s="237" t="s">
        <v>754</v>
      </c>
      <c r="F29" s="6"/>
    </row>
    <row r="30" spans="1:18">
      <c r="A30" s="231" t="s">
        <v>50</v>
      </c>
      <c r="B30" s="33">
        <f>IF(ISERROR(TER_ander_ele_kWh/1000),0,TER_ander_ele_kWh/1000)</f>
        <v>3393.61679811064</v>
      </c>
      <c r="C30" s="39">
        <f>IF(ISERROR(B30*3.6/1000000/'E Balans VL '!Z14*100),0,B30*3.6/1000000/'E Balans VL '!Z14*100)</f>
        <v>0.25031391211854281</v>
      </c>
      <c r="D30" s="237" t="s">
        <v>754</v>
      </c>
      <c r="F30" s="6"/>
    </row>
    <row r="31" spans="1:18">
      <c r="A31" s="231" t="s">
        <v>55</v>
      </c>
      <c r="B31" s="33">
        <f>IF(ISERROR(TER_onderwijs_ele_kWh/1000),0,TER_onderwijs_ele_kWh/1000)</f>
        <v>521.19446175323799</v>
      </c>
      <c r="C31" s="39">
        <f>IF(ISERROR(B31*3.6/1000000/'E Balans VL '!Z11*100),0,B31*3.6/1000000/'E Balans VL '!Z11*100)</f>
        <v>0.12943699903971922</v>
      </c>
      <c r="D31" s="237" t="s">
        <v>754</v>
      </c>
    </row>
    <row r="32" spans="1:18">
      <c r="A32" s="231" t="s">
        <v>260</v>
      </c>
      <c r="B32" s="33">
        <f>IF(ISERROR(TER_rest_ele_kWh/1000),0,TER_rest_ele_kWh/1000)</f>
        <v>2484.83092651779</v>
      </c>
      <c r="C32" s="39">
        <f>IF(ISERROR(B32*3.6/1000000/'E Balans VL '!Z8*100),0,B32*3.6/1000000/'E Balans VL '!Z8*100)</f>
        <v>2.0446860247465098E-2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1953.8965379405076</v>
      </c>
      <c r="C5" s="17">
        <f>IF(ISERROR('Eigen informatie GS &amp; warmtenet'!B59),0,'Eigen informatie GS &amp; warmtenet'!B59)</f>
        <v>0</v>
      </c>
      <c r="D5" s="30">
        <f>SUM(D6:D15)</f>
        <v>2603.434591037219</v>
      </c>
      <c r="E5" s="17">
        <f>SUM(E6:E15)</f>
        <v>283.61427952983809</v>
      </c>
      <c r="F5" s="17">
        <f>SUM(F6:F15)</f>
        <v>836.9822378324925</v>
      </c>
      <c r="G5" s="18"/>
      <c r="H5" s="17"/>
      <c r="I5" s="17"/>
      <c r="J5" s="17">
        <f>SUM(J6:J15)</f>
        <v>2.5147574727104907</v>
      </c>
      <c r="K5" s="17"/>
      <c r="L5" s="17"/>
      <c r="M5" s="17"/>
      <c r="N5" s="17">
        <f>SUM(N6:N15)</f>
        <v>458.34918680957918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61.048000000000002</v>
      </c>
      <c r="C8" s="33"/>
      <c r="D8" s="37">
        <f>IF( ISERROR(IND_metaal_Gas_kWH/1000),0,IND_metaal_Gas_kWH/1000)*0.902</f>
        <v>0</v>
      </c>
      <c r="E8" s="33">
        <f>C30*'E Balans VL '!I18/100/3.6*1000000</f>
        <v>0.56127739928088194</v>
      </c>
      <c r="F8" s="33">
        <f>C30*'E Balans VL '!L18/100/3.6*1000000+C30*'E Balans VL '!N18/100/3.6*1000000</f>
        <v>5.7242699063416751</v>
      </c>
      <c r="G8" s="34"/>
      <c r="H8" s="33"/>
      <c r="I8" s="33"/>
      <c r="J8" s="40">
        <f>C30*'E Balans VL '!D18/100/3.6*1000000+C30*'E Balans VL '!E18/100/3.6*1000000</f>
        <v>0</v>
      </c>
      <c r="K8" s="33"/>
      <c r="L8" s="33"/>
      <c r="M8" s="33"/>
      <c r="N8" s="33">
        <f>C30*'E Balans VL '!Y18/100/3.6*1000000</f>
        <v>0.87095060606841823</v>
      </c>
      <c r="O8" s="33"/>
      <c r="P8" s="33"/>
      <c r="R8" s="32"/>
    </row>
    <row r="9" spans="1:18">
      <c r="A9" s="6" t="s">
        <v>33</v>
      </c>
      <c r="B9" s="37">
        <f t="shared" si="0"/>
        <v>833.02883476247894</v>
      </c>
      <c r="C9" s="33"/>
      <c r="D9" s="37">
        <f>IF( ISERROR(IND_andere_gas_kWh/1000),0,IND_andere_gas_kWh/1000)*0.902</f>
        <v>1155.8306595673034</v>
      </c>
      <c r="E9" s="33">
        <f>C31*'E Balans VL '!I19/100/3.6*1000000</f>
        <v>243.51054555968261</v>
      </c>
      <c r="F9" s="33">
        <f>C31*'E Balans VL '!L19/100/3.6*1000000+C31*'E Balans VL '!N19/100/3.6*1000000</f>
        <v>669.40172322062358</v>
      </c>
      <c r="G9" s="34"/>
      <c r="H9" s="33"/>
      <c r="I9" s="33"/>
      <c r="J9" s="40">
        <f>C31*'E Balans VL '!D19/100/3.6*1000000+C31*'E Balans VL '!E19/100/3.6*1000000</f>
        <v>0</v>
      </c>
      <c r="K9" s="33"/>
      <c r="L9" s="33"/>
      <c r="M9" s="33"/>
      <c r="N9" s="33">
        <f>C31*'E Balans VL '!Y19/100/3.6*1000000</f>
        <v>275.24564636676672</v>
      </c>
      <c r="O9" s="33"/>
      <c r="P9" s="33"/>
      <c r="R9" s="32"/>
    </row>
    <row r="10" spans="1:18">
      <c r="A10" s="6" t="s">
        <v>41</v>
      </c>
      <c r="B10" s="37">
        <f t="shared" si="0"/>
        <v>357.36975059777399</v>
      </c>
      <c r="C10" s="33"/>
      <c r="D10" s="37">
        <f>IF( ISERROR(IND_voed_gas_kWh/1000),0,IND_voed_gas_kWh/1000)*0.902</f>
        <v>603.12063681550183</v>
      </c>
      <c r="E10" s="33">
        <f>C32*'E Balans VL '!I20/100/3.6*1000000</f>
        <v>0.75602124847320185</v>
      </c>
      <c r="F10" s="33">
        <f>C32*'E Balans VL '!L20/100/3.6*1000000+C32*'E Balans VL '!N20/100/3.6*1000000</f>
        <v>22.721933785502003</v>
      </c>
      <c r="G10" s="34"/>
      <c r="H10" s="33"/>
      <c r="I10" s="33"/>
      <c r="J10" s="40">
        <f>C32*'E Balans VL '!D20/100/3.6*1000000+C32*'E Balans VL '!E20/100/3.6*1000000</f>
        <v>0</v>
      </c>
      <c r="K10" s="33"/>
      <c r="L10" s="33"/>
      <c r="M10" s="33"/>
      <c r="N10" s="33">
        <f>C32*'E Balans VL '!Y20/100/3.6*1000000</f>
        <v>24.662039402116569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702.44995258025494</v>
      </c>
      <c r="C15" s="33"/>
      <c r="D15" s="37">
        <f>IF( ISERROR(IND_rest_gas_kWh/1000),0,IND_rest_gas_kWh/1000)*0.902</f>
        <v>844.48329465441395</v>
      </c>
      <c r="E15" s="33">
        <f>C37*'E Balans VL '!I15/100/3.6*1000000</f>
        <v>38.786435322401424</v>
      </c>
      <c r="F15" s="33">
        <f>C37*'E Balans VL '!L15/100/3.6*1000000+C37*'E Balans VL '!N15/100/3.6*1000000</f>
        <v>139.13431092002537</v>
      </c>
      <c r="G15" s="34"/>
      <c r="H15" s="33"/>
      <c r="I15" s="33"/>
      <c r="J15" s="40">
        <f>C37*'E Balans VL '!D15/100/3.6*1000000+C37*'E Balans VL '!E15/100/3.6*1000000</f>
        <v>2.5147574727104907</v>
      </c>
      <c r="K15" s="33"/>
      <c r="L15" s="33"/>
      <c r="M15" s="33"/>
      <c r="N15" s="33">
        <f>C37*'E Balans VL '!Y15/100/3.6*1000000</f>
        <v>157.57055043462748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1953.8965379405076</v>
      </c>
      <c r="C18" s="21">
        <f>C5+C16</f>
        <v>0</v>
      </c>
      <c r="D18" s="21">
        <f>MAX((D5+D16),0)</f>
        <v>2603.434591037219</v>
      </c>
      <c r="E18" s="21">
        <f>MAX((E5+E16),0)</f>
        <v>283.61427952983809</v>
      </c>
      <c r="F18" s="21">
        <f>MAX((F5+F16),0)</f>
        <v>836.9822378324925</v>
      </c>
      <c r="G18" s="21"/>
      <c r="H18" s="21"/>
      <c r="I18" s="21"/>
      <c r="J18" s="21">
        <f>MAX((J5+J16),0)</f>
        <v>2.5147574727104907</v>
      </c>
      <c r="K18" s="21"/>
      <c r="L18" s="21">
        <f>MAX((L5+L16),0)</f>
        <v>0</v>
      </c>
      <c r="M18" s="21"/>
      <c r="N18" s="21">
        <f>MAX((N5+N16),0)</f>
        <v>458.34918680957918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6.4350860961626857E-2</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125.73492444641369</v>
      </c>
      <c r="C22" s="23">
        <f ca="1">C18*C20</f>
        <v>0</v>
      </c>
      <c r="D22" s="23">
        <f>D18*D20</f>
        <v>525.89378738951825</v>
      </c>
      <c r="E22" s="23">
        <f>E18*E20</f>
        <v>64.380441453273249</v>
      </c>
      <c r="F22" s="23">
        <f>F18*F20</f>
        <v>223.4742575012755</v>
      </c>
      <c r="G22" s="23"/>
      <c r="H22" s="23"/>
      <c r="I22" s="23"/>
      <c r="J22" s="23">
        <f>J18*J20</f>
        <v>0.89022414533951366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61.048000000000002</v>
      </c>
      <c r="C30" s="39">
        <f>IF(ISERROR(B30*3.6/1000000/'E Balans VL '!Z18*100),0,B30*3.6/1000000/'E Balans VL '!Z18*100)</f>
        <v>3.4597466973102981E-3</v>
      </c>
      <c r="D30" s="237" t="s">
        <v>754</v>
      </c>
    </row>
    <row r="31" spans="1:18">
      <c r="A31" s="6" t="s">
        <v>33</v>
      </c>
      <c r="B31" s="37">
        <f>IF( ISERROR(IND_ander_ele_kWh/1000),0,IND_ander_ele_kWh/1000)</f>
        <v>833.02883476247894</v>
      </c>
      <c r="C31" s="39">
        <f>IF(ISERROR(B31*3.6/1000000/'E Balans VL '!Z19*100),0,B31*3.6/1000000/'E Balans VL '!Z19*100)</f>
        <v>3.7782719273129262E-2</v>
      </c>
      <c r="D31" s="237" t="s">
        <v>754</v>
      </c>
    </row>
    <row r="32" spans="1:18">
      <c r="A32" s="171" t="s">
        <v>41</v>
      </c>
      <c r="B32" s="37">
        <f>IF( ISERROR(IND_voed_ele_kWh/1000),0,IND_voed_ele_kWh/1000)</f>
        <v>357.36975059777399</v>
      </c>
      <c r="C32" s="39">
        <f>IF(ISERROR(B32*3.6/1000000/'E Balans VL '!Z20*100),0,B32*3.6/1000000/'E Balans VL '!Z20*100)</f>
        <v>1.1055068707675333E-2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702.44995258025494</v>
      </c>
      <c r="C37" s="39">
        <f>IF(ISERROR(B37*3.6/1000000/'E Balans VL '!Z15*100),0,B37*3.6/1000000/'E Balans VL '!Z15*100)</f>
        <v>5.5677785647863165E-3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2546.278499413017</v>
      </c>
      <c r="C5" s="17">
        <f>'Eigen informatie GS &amp; warmtenet'!B60</f>
        <v>0</v>
      </c>
      <c r="D5" s="30">
        <f>IF(ISERROR(SUM(LB_lb_gas_kWh,LB_rest_gas_kWh,onbekend_gas_kWh)/1000),0,SUM(LB_lb_gas_kWh,LB_rest_gas_kWh,onbekend_gas_kWh)/1000)*0.902</f>
        <v>30787.706029897683</v>
      </c>
      <c r="E5" s="17">
        <f>B17*'E Balans VL '!I25/3.6*1000000/100</f>
        <v>74.842902329945588</v>
      </c>
      <c r="F5" s="17">
        <f>B17*('E Balans VL '!L25/3.6*1000000+'E Balans VL '!N25/3.6*1000000)/100</f>
        <v>10607.658634886493</v>
      </c>
      <c r="G5" s="18"/>
      <c r="H5" s="17"/>
      <c r="I5" s="17"/>
      <c r="J5" s="17">
        <f>('E Balans VL '!D25+'E Balans VL '!E25)/3.6*1000000*landbouw!B17/100</f>
        <v>368.90107260823316</v>
      </c>
      <c r="K5" s="17"/>
      <c r="L5" s="17">
        <f>L6*(-1)</f>
        <v>0</v>
      </c>
      <c r="M5" s="17"/>
      <c r="N5" s="17">
        <f>N6*(-1)</f>
        <v>0</v>
      </c>
      <c r="O5" s="17"/>
      <c r="P5" s="17"/>
      <c r="R5" s="32"/>
    </row>
    <row r="6" spans="1:18">
      <c r="A6" s="16" t="s">
        <v>488</v>
      </c>
      <c r="B6" s="17" t="s">
        <v>211</v>
      </c>
      <c r="C6" s="17">
        <f>'lokale energieproductie'!O91+'lokale energieproductie'!O60</f>
        <v>17228.571428571428</v>
      </c>
      <c r="D6" s="310">
        <f>('lokale energieproductie'!P60+'lokale energieproductie'!P91)*(-1)</f>
        <v>-34457.142857142862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2546.278499413017</v>
      </c>
      <c r="C8" s="21">
        <f>C5+C6</f>
        <v>17228.571428571428</v>
      </c>
      <c r="D8" s="21">
        <f>MAX((D5+D6),0)</f>
        <v>0</v>
      </c>
      <c r="E8" s="21">
        <f>MAX((E5+E6),0)</f>
        <v>74.842902329945588</v>
      </c>
      <c r="F8" s="21">
        <f>MAX((F5+F6),0)</f>
        <v>10607.658634886493</v>
      </c>
      <c r="G8" s="21"/>
      <c r="H8" s="21"/>
      <c r="I8" s="21"/>
      <c r="J8" s="21">
        <f>MAX((J5+J6),0)</f>
        <v>368.90107260823316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6.4350860961626857E-2</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163.85521368530692</v>
      </c>
      <c r="C12" s="23">
        <f ca="1">C8*C10</f>
        <v>4094.3193277310938</v>
      </c>
      <c r="D12" s="23">
        <f>D8*D10</f>
        <v>0</v>
      </c>
      <c r="E12" s="23">
        <f>E8*E10</f>
        <v>16.989338828897647</v>
      </c>
      <c r="F12" s="23">
        <f>F8*F10</f>
        <v>2832.2448555146939</v>
      </c>
      <c r="G12" s="23"/>
      <c r="H12" s="23"/>
      <c r="I12" s="23"/>
      <c r="J12" s="23">
        <f>J8*J10</f>
        <v>130.59097970331453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0.36132490777186843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289.88170146780868</v>
      </c>
      <c r="C26" s="247">
        <f>B26*'GWP N2O_CH4'!B5</f>
        <v>6087.5157308239823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132.4319016278661</v>
      </c>
      <c r="C27" s="247">
        <f>B27*'GWP N2O_CH4'!B5</f>
        <v>2781.0699341851882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5.913192965844023</v>
      </c>
      <c r="C28" s="247">
        <f>B28*'GWP N2O_CH4'!B4</f>
        <v>1833.0898194116471</v>
      </c>
      <c r="D28" s="50"/>
    </row>
    <row r="29" spans="1:4">
      <c r="A29" s="41" t="s">
        <v>277</v>
      </c>
      <c r="B29" s="247">
        <f>B34*'ha_N2O bodem landbouw'!B4</f>
        <v>11.593860116488905</v>
      </c>
      <c r="C29" s="247">
        <f>B29*'GWP N2O_CH4'!B4</f>
        <v>3594.0966361115607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2.64567892436336E-3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1.7060993856266957E-4</v>
      </c>
      <c r="C5" s="463" t="s">
        <v>211</v>
      </c>
      <c r="D5" s="448">
        <f>SUM(D6:D11)</f>
        <v>5.758373590568171E-4</v>
      </c>
      <c r="E5" s="448">
        <f>SUM(E6:E11)</f>
        <v>8.7058452604252138E-4</v>
      </c>
      <c r="F5" s="461" t="s">
        <v>211</v>
      </c>
      <c r="G5" s="448">
        <f>SUM(G6:G11)</f>
        <v>0.40658846314810004</v>
      </c>
      <c r="H5" s="448">
        <f>SUM(H6:H11)</f>
        <v>6.652495289434221E-2</v>
      </c>
      <c r="I5" s="463" t="s">
        <v>211</v>
      </c>
      <c r="J5" s="463" t="s">
        <v>211</v>
      </c>
      <c r="K5" s="463" t="s">
        <v>211</v>
      </c>
      <c r="L5" s="463" t="s">
        <v>211</v>
      </c>
      <c r="M5" s="448">
        <f>SUM(M6:M11)</f>
        <v>2.5729811935247052E-2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5.7449705724879961E-5</v>
      </c>
      <c r="C6" s="449"/>
      <c r="D6" s="962">
        <f>vkm_2011_GW_PW*SUMIFS(TableVerdeelsleutelVkm[CNG],TableVerdeelsleutelVkm[Voertuigtype],"Lichte voertuigen")*SUMIFS(TableECFTransport[EnergieConsumptieFactor (PJ per km)],TableECFTransport[Index],CONCATENATE($A6,"_CNG_CNG"))</f>
        <v>1.723161440428224E-4</v>
      </c>
      <c r="E6" s="962">
        <f>vkm_2011_GW_PW*SUMIFS(TableVerdeelsleutelVkm[LPG],TableVerdeelsleutelVkm[Voertuigtype],"Lichte voertuigen")*SUMIFS(TableECFTransport[EnergieConsumptieFactor (PJ per km)],TableECFTransport[Index],CONCATENATE($A6,"_LPG_LPG"))</f>
        <v>2.3540860475675305E-4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6.0865873891928546E-2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1.9595550637974857E-2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4.1376530634165097E-3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1.8748940798000432E-2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5.7132967083641432E-6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1.095625844365816E-3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2.2080674765761026E-5</v>
      </c>
      <c r="C8" s="449"/>
      <c r="D8" s="451">
        <f>vkm_2011_NGW_PW*SUMIFS(TableVerdeelsleutelVkm[CNG],TableVerdeelsleutelVkm[Voertuigtype],"Lichte voertuigen")*SUMIFS(TableECFTransport[EnergieConsumptieFactor (PJ per km)],TableECFTransport[Index],CONCATENATE($A8,"_CNG_CNG"))</f>
        <v>1.1775652825677234E-4</v>
      </c>
      <c r="E8" s="451">
        <f>vkm_2011_NGW_PW*SUMIFS(TableVerdeelsleutelVkm[LPG],TableVerdeelsleutelVkm[Voertuigtype],"Lichte voertuigen")*SUMIFS(TableECFTransport[EnergieConsumptieFactor (PJ per km)],TableECFTransport[Index],CONCATENATE($A8,"_LPG_LPG"))</f>
        <v>1.489860346856515E-4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3.5897457886590295E-2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1.3013223476347972E-2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2.4835085573704741E-3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1.993964509541219E-4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5.7201565788500928E-8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1.1651960878020814E-5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9.1079558072028571E-5</v>
      </c>
      <c r="C10" s="449"/>
      <c r="D10" s="451">
        <f>vkm_2011_SW_PW*SUMIFS(TableVerdeelsleutelVkm[CNG],TableVerdeelsleutelVkm[Voertuigtype],"Lichte voertuigen")*SUMIFS(TableECFTransport[EnergieConsumptieFactor (PJ per km)],TableECFTransport[Index],CONCATENATE($A10,"_CNG_CNG"))</f>
        <v>2.8576468675722236E-4</v>
      </c>
      <c r="E10" s="451">
        <f>vkm_2011_SW_PW*SUMIFS(TableVerdeelsleutelVkm[LPG],TableVerdeelsleutelVkm[Voertuigtype],"Lichte voertuigen")*SUMIFS(TableECFTransport[EnergieConsumptieFactor (PJ per km)],TableECFTransport[Index],CONCATENATE($A10,"_LPG_LPG"))</f>
        <v>4.8618988660011683E-4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0.11206787042057996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3.3851567456216522E-2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7.5522435880499353E-3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0.17880892370004672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5.8840825528709708E-5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1.0449128921166295E-2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47.391649600741545</v>
      </c>
      <c r="C14" s="21"/>
      <c r="D14" s="21">
        <f t="shared" ref="D14:M14" si="0">((D5)*10^9/3600)+D12</f>
        <v>159.95482196022698</v>
      </c>
      <c r="E14" s="21">
        <f t="shared" si="0"/>
        <v>241.8290350118115</v>
      </c>
      <c r="F14" s="21"/>
      <c r="G14" s="21">
        <f t="shared" si="0"/>
        <v>112941.23976336111</v>
      </c>
      <c r="H14" s="21">
        <f t="shared" si="0"/>
        <v>18479.153581761722</v>
      </c>
      <c r="I14" s="21"/>
      <c r="J14" s="21"/>
      <c r="K14" s="21"/>
      <c r="L14" s="21"/>
      <c r="M14" s="21">
        <f t="shared" si="0"/>
        <v>7147.1699820130698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6.4350860961626857E-2</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3.049693454199458</v>
      </c>
      <c r="C18" s="23"/>
      <c r="D18" s="23">
        <f t="shared" ref="D18:M18" si="1">D14*D16</f>
        <v>32.310874035965853</v>
      </c>
      <c r="E18" s="23">
        <f t="shared" si="1"/>
        <v>54.895190947681215</v>
      </c>
      <c r="F18" s="23"/>
      <c r="G18" s="23">
        <f t="shared" si="1"/>
        <v>30155.311016817417</v>
      </c>
      <c r="H18" s="23">
        <f t="shared" si="1"/>
        <v>4601.3092418586684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4.6298617875359565E-3</v>
      </c>
      <c r="H50" s="321">
        <f t="shared" si="2"/>
        <v>0</v>
      </c>
      <c r="I50" s="321">
        <f t="shared" si="2"/>
        <v>0</v>
      </c>
      <c r="J50" s="321">
        <f t="shared" si="2"/>
        <v>0</v>
      </c>
      <c r="K50" s="321">
        <f t="shared" si="2"/>
        <v>0</v>
      </c>
      <c r="L50" s="321">
        <f t="shared" si="2"/>
        <v>0</v>
      </c>
      <c r="M50" s="321">
        <f t="shared" si="2"/>
        <v>2.6295571065353124E-4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4.6298617875359565E-3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2.6295571065353124E-4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1286.0727187599878</v>
      </c>
      <c r="H54" s="21">
        <f t="shared" si="3"/>
        <v>0</v>
      </c>
      <c r="I54" s="21">
        <f t="shared" si="3"/>
        <v>0</v>
      </c>
      <c r="J54" s="21">
        <f t="shared" si="3"/>
        <v>0</v>
      </c>
      <c r="K54" s="21">
        <f t="shared" si="3"/>
        <v>0</v>
      </c>
      <c r="L54" s="21">
        <f t="shared" si="3"/>
        <v>0</v>
      </c>
      <c r="M54" s="21">
        <f t="shared" si="3"/>
        <v>73.043252959314231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6.4350860961626857E-2</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343.38141590891678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27729.892099744768</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4747.5622028605585</v>
      </c>
      <c r="C6" s="1263"/>
      <c r="D6" s="1248"/>
      <c r="E6" s="1248"/>
      <c r="F6" s="1266"/>
      <c r="G6" s="1269"/>
      <c r="H6" s="1260"/>
      <c r="I6" s="1248"/>
      <c r="J6" s="1248"/>
      <c r="K6" s="1248"/>
      <c r="L6" s="1252"/>
      <c r="M6" s="575"/>
      <c r="N6" s="1226"/>
      <c r="O6" s="1227"/>
      <c r="Q6" s="573"/>
      <c r="R6" s="1214"/>
      <c r="S6" s="1214"/>
    </row>
    <row r="7" spans="1:19" s="563" customFormat="1">
      <c r="A7" s="576" t="s">
        <v>252</v>
      </c>
      <c r="B7" s="577">
        <f>N57</f>
        <v>12060</v>
      </c>
      <c r="C7" s="578">
        <f>B100</f>
        <v>14188.23529411765</v>
      </c>
      <c r="D7" s="579"/>
      <c r="E7" s="579">
        <f>E100</f>
        <v>0</v>
      </c>
      <c r="F7" s="580"/>
      <c r="G7" s="581"/>
      <c r="H7" s="579">
        <f>I100</f>
        <v>0</v>
      </c>
      <c r="I7" s="579">
        <f>G100+F100</f>
        <v>0</v>
      </c>
      <c r="J7" s="579">
        <f>H100+D100+C100</f>
        <v>0</v>
      </c>
      <c r="K7" s="579"/>
      <c r="L7" s="582"/>
      <c r="M7" s="583">
        <f>C7*$C$11+D7*$D$11+E7*$E$11+F7*$F$11+G7*$G$11+H7*$H$11+I7*$I$11+J7*$J$11</f>
        <v>2866.0235294117656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44537.454302605329</v>
      </c>
      <c r="C9" s="594">
        <f t="shared" ref="C9:L9" si="0">SUM(C7:C8)</f>
        <v>14188.23529411765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2866.0235294117656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17228.571428571428</v>
      </c>
      <c r="C16" s="610">
        <f>B101</f>
        <v>20268.907563025215</v>
      </c>
      <c r="D16" s="611"/>
      <c r="E16" s="611">
        <f>E101</f>
        <v>0</v>
      </c>
      <c r="F16" s="612"/>
      <c r="G16" s="613"/>
      <c r="H16" s="610">
        <f>I101</f>
        <v>0</v>
      </c>
      <c r="I16" s="611">
        <f>G101+F101</f>
        <v>0</v>
      </c>
      <c r="J16" s="611">
        <f>H101+D101+C101</f>
        <v>0</v>
      </c>
      <c r="K16" s="611"/>
      <c r="L16" s="614"/>
      <c r="M16" s="615">
        <f>C16*$C$21+E16*$E$21+H16*$H$21+I16*$I$21+J16*$J$21+D16*$D$21+F16*$F$21+G16*$G$21+K16*$K$21+L16*$L$21</f>
        <v>4094.3193277310938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17228.571428571428</v>
      </c>
      <c r="C19" s="593">
        <f>SUM(C16:C18)</f>
        <v>20268.907563025215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4094.3193277310938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13031</v>
      </c>
      <c r="C27" s="851">
        <v>2360</v>
      </c>
      <c r="D27" s="672" t="s">
        <v>844</v>
      </c>
      <c r="E27" s="671" t="s">
        <v>845</v>
      </c>
      <c r="F27" s="671" t="s">
        <v>846</v>
      </c>
      <c r="G27" s="671" t="s">
        <v>847</v>
      </c>
      <c r="H27" s="671" t="s">
        <v>848</v>
      </c>
      <c r="I27" s="671" t="s">
        <v>845</v>
      </c>
      <c r="J27" s="850">
        <v>40480</v>
      </c>
      <c r="K27" s="850">
        <v>40499</v>
      </c>
      <c r="L27" s="671" t="s">
        <v>849</v>
      </c>
      <c r="M27" s="671">
        <v>2680</v>
      </c>
      <c r="N27" s="671">
        <v>12060</v>
      </c>
      <c r="O27" s="671">
        <v>17228.571428571428</v>
      </c>
      <c r="P27" s="671">
        <v>34457.142857142862</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2680</v>
      </c>
      <c r="N57" s="629">
        <f>SUM(N27:N56)</f>
        <v>12060</v>
      </c>
      <c r="O57" s="629">
        <f t="shared" ref="O57:W57" si="2">SUM(O27:O56)</f>
        <v>17228.571428571428</v>
      </c>
      <c r="P57" s="629">
        <f t="shared" si="2"/>
        <v>34457.142857142862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2680</v>
      </c>
      <c r="N60" s="634">
        <f t="shared" ref="N60:W60" si="4">SUMIF($Z$27:$Z$56,"landbouw",N27:N56)</f>
        <v>12060</v>
      </c>
      <c r="O60" s="634">
        <f t="shared" si="4"/>
        <v>17228.571428571428</v>
      </c>
      <c r="P60" s="634">
        <f t="shared" si="4"/>
        <v>34457.142857142862</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14188.23529411765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20268.907563025215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14103.682584355323</v>
      </c>
      <c r="D10" s="718">
        <f ca="1">tertiair!C16</f>
        <v>0</v>
      </c>
      <c r="E10" s="718">
        <f ca="1">tertiair!D16</f>
        <v>17178.299773227627</v>
      </c>
      <c r="F10" s="718">
        <f>tertiair!E16</f>
        <v>161.33096974428634</v>
      </c>
      <c r="G10" s="718">
        <f ca="1">tertiair!F16</f>
        <v>2530.3760317843894</v>
      </c>
      <c r="H10" s="718">
        <f>tertiair!G16</f>
        <v>0</v>
      </c>
      <c r="I10" s="718">
        <f>tertiair!H16</f>
        <v>0</v>
      </c>
      <c r="J10" s="718">
        <f>tertiair!I16</f>
        <v>0</v>
      </c>
      <c r="K10" s="718">
        <f>tertiair!J16</f>
        <v>7.9679198873488122E-2</v>
      </c>
      <c r="L10" s="718">
        <f>tertiair!K16</f>
        <v>0</v>
      </c>
      <c r="M10" s="718">
        <f ca="1">tertiair!L16</f>
        <v>0</v>
      </c>
      <c r="N10" s="718">
        <f>tertiair!M16</f>
        <v>0</v>
      </c>
      <c r="O10" s="718">
        <f ca="1">tertiair!N16</f>
        <v>3133.1857750135509</v>
      </c>
      <c r="P10" s="718">
        <f>tertiair!O16</f>
        <v>6.2533333333333339</v>
      </c>
      <c r="Q10" s="719">
        <f>tertiair!P16</f>
        <v>38.133333333333333</v>
      </c>
      <c r="R10" s="721">
        <f ca="1">SUM(C10:Q10)</f>
        <v>37151.341479990719</v>
      </c>
      <c r="S10" s="67"/>
    </row>
    <row r="11" spans="1:19" s="474" customFormat="1">
      <c r="A11" s="870" t="s">
        <v>225</v>
      </c>
      <c r="B11" s="875"/>
      <c r="C11" s="718">
        <f>huishoudens!B8</f>
        <v>24753.464556888663</v>
      </c>
      <c r="D11" s="718">
        <f>huishoudens!C8</f>
        <v>0</v>
      </c>
      <c r="E11" s="718">
        <f>huishoudens!D8</f>
        <v>77225.596836445489</v>
      </c>
      <c r="F11" s="718">
        <f>huishoudens!E8</f>
        <v>3556.6577140340596</v>
      </c>
      <c r="G11" s="718">
        <f>huishoudens!F8</f>
        <v>5542.6821699438078</v>
      </c>
      <c r="H11" s="718">
        <f>huishoudens!G8</f>
        <v>0</v>
      </c>
      <c r="I11" s="718">
        <f>huishoudens!H8</f>
        <v>0</v>
      </c>
      <c r="J11" s="718">
        <f>huishoudens!I8</f>
        <v>0</v>
      </c>
      <c r="K11" s="718">
        <f>huishoudens!J8</f>
        <v>0</v>
      </c>
      <c r="L11" s="718">
        <f>huishoudens!K8</f>
        <v>0</v>
      </c>
      <c r="M11" s="718">
        <f>huishoudens!L8</f>
        <v>0</v>
      </c>
      <c r="N11" s="718">
        <f>huishoudens!M8</f>
        <v>0</v>
      </c>
      <c r="O11" s="718">
        <f>huishoudens!N8</f>
        <v>25273.35847297755</v>
      </c>
      <c r="P11" s="718">
        <f>huishoudens!O8</f>
        <v>281.40000000000003</v>
      </c>
      <c r="Q11" s="719">
        <f>huishoudens!P8</f>
        <v>953.33333333333326</v>
      </c>
      <c r="R11" s="721">
        <f>SUM(C11:Q11)</f>
        <v>137586.49308362292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1953.8965379405076</v>
      </c>
      <c r="D13" s="718">
        <f>industrie!C18</f>
        <v>0</v>
      </c>
      <c r="E13" s="718">
        <f>industrie!D18</f>
        <v>2603.434591037219</v>
      </c>
      <c r="F13" s="718">
        <f>industrie!E18</f>
        <v>283.61427952983809</v>
      </c>
      <c r="G13" s="718">
        <f>industrie!F18</f>
        <v>836.9822378324925</v>
      </c>
      <c r="H13" s="718">
        <f>industrie!G18</f>
        <v>0</v>
      </c>
      <c r="I13" s="718">
        <f>industrie!H18</f>
        <v>0</v>
      </c>
      <c r="J13" s="718">
        <f>industrie!I18</f>
        <v>0</v>
      </c>
      <c r="K13" s="718">
        <f>industrie!J18</f>
        <v>2.5147574727104907</v>
      </c>
      <c r="L13" s="718">
        <f>industrie!K18</f>
        <v>0</v>
      </c>
      <c r="M13" s="718">
        <f>industrie!L18</f>
        <v>0</v>
      </c>
      <c r="N13" s="718">
        <f>industrie!M18</f>
        <v>0</v>
      </c>
      <c r="O13" s="718">
        <f>industrie!N18</f>
        <v>458.34918680957918</v>
      </c>
      <c r="P13" s="718">
        <f>industrie!O18</f>
        <v>0</v>
      </c>
      <c r="Q13" s="719">
        <f>industrie!P18</f>
        <v>0</v>
      </c>
      <c r="R13" s="721">
        <f>SUM(C13:Q13)</f>
        <v>6138.791590622347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40811.043679184491</v>
      </c>
      <c r="D15" s="723">
        <f t="shared" ref="D15:Q15" ca="1" si="0">SUM(D9:D14)</f>
        <v>0</v>
      </c>
      <c r="E15" s="723">
        <f t="shared" ca="1" si="0"/>
        <v>97007.331200710338</v>
      </c>
      <c r="F15" s="723">
        <f t="shared" si="0"/>
        <v>4001.6029633081844</v>
      </c>
      <c r="G15" s="723">
        <f t="shared" ca="1" si="0"/>
        <v>8910.0404395606893</v>
      </c>
      <c r="H15" s="723">
        <f t="shared" si="0"/>
        <v>0</v>
      </c>
      <c r="I15" s="723">
        <f t="shared" si="0"/>
        <v>0</v>
      </c>
      <c r="J15" s="723">
        <f t="shared" si="0"/>
        <v>0</v>
      </c>
      <c r="K15" s="723">
        <f t="shared" si="0"/>
        <v>2.5944366715839786</v>
      </c>
      <c r="L15" s="723">
        <f t="shared" si="0"/>
        <v>0</v>
      </c>
      <c r="M15" s="723">
        <f t="shared" ca="1" si="0"/>
        <v>0</v>
      </c>
      <c r="N15" s="723">
        <f t="shared" si="0"/>
        <v>0</v>
      </c>
      <c r="O15" s="723">
        <f t="shared" ca="1" si="0"/>
        <v>28864.893434800681</v>
      </c>
      <c r="P15" s="723">
        <f t="shared" si="0"/>
        <v>287.65333333333336</v>
      </c>
      <c r="Q15" s="724">
        <f t="shared" si="0"/>
        <v>991.46666666666658</v>
      </c>
      <c r="R15" s="725">
        <f ca="1">SUM(R9:R14)</f>
        <v>180876.62615423597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1286.0727187599878</v>
      </c>
      <c r="I18" s="718">
        <f>transport!H54</f>
        <v>0</v>
      </c>
      <c r="J18" s="718">
        <f>transport!I54</f>
        <v>0</v>
      </c>
      <c r="K18" s="718">
        <f>transport!J54</f>
        <v>0</v>
      </c>
      <c r="L18" s="718">
        <f>transport!K54</f>
        <v>0</v>
      </c>
      <c r="M18" s="718">
        <f>transport!L54</f>
        <v>0</v>
      </c>
      <c r="N18" s="718">
        <f>transport!M54</f>
        <v>73.043252959314231</v>
      </c>
      <c r="O18" s="718">
        <f>transport!N54</f>
        <v>0</v>
      </c>
      <c r="P18" s="718">
        <f>transport!O54</f>
        <v>0</v>
      </c>
      <c r="Q18" s="719">
        <f>transport!P54</f>
        <v>0</v>
      </c>
      <c r="R18" s="721">
        <f>SUM(C18:Q18)</f>
        <v>1359.115971719302</v>
      </c>
      <c r="S18" s="67"/>
    </row>
    <row r="19" spans="1:19" s="474" customFormat="1" ht="15" thickBot="1">
      <c r="A19" s="870" t="s">
        <v>307</v>
      </c>
      <c r="B19" s="875"/>
      <c r="C19" s="727">
        <f>transport!B14</f>
        <v>47.391649600741545</v>
      </c>
      <c r="D19" s="727">
        <f>transport!C14</f>
        <v>0</v>
      </c>
      <c r="E19" s="727">
        <f>transport!D14</f>
        <v>159.95482196022698</v>
      </c>
      <c r="F19" s="727">
        <f>transport!E14</f>
        <v>241.8290350118115</v>
      </c>
      <c r="G19" s="727">
        <f>transport!F14</f>
        <v>0</v>
      </c>
      <c r="H19" s="727">
        <f>transport!G14</f>
        <v>112941.23976336111</v>
      </c>
      <c r="I19" s="727">
        <f>transport!H14</f>
        <v>18479.153581761722</v>
      </c>
      <c r="J19" s="727">
        <f>transport!I14</f>
        <v>0</v>
      </c>
      <c r="K19" s="727">
        <f>transport!J14</f>
        <v>0</v>
      </c>
      <c r="L19" s="727">
        <f>transport!K14</f>
        <v>0</v>
      </c>
      <c r="M19" s="727">
        <f>transport!L14</f>
        <v>0</v>
      </c>
      <c r="N19" s="727">
        <f>transport!M14</f>
        <v>7147.1699820130698</v>
      </c>
      <c r="O19" s="727">
        <f>transport!N14</f>
        <v>0</v>
      </c>
      <c r="P19" s="727">
        <f>transport!O14</f>
        <v>0</v>
      </c>
      <c r="Q19" s="728">
        <f>transport!P14</f>
        <v>0</v>
      </c>
      <c r="R19" s="729">
        <f>SUM(C19:Q19)</f>
        <v>139016.73883370866</v>
      </c>
      <c r="S19" s="67"/>
    </row>
    <row r="20" spans="1:19" s="474" customFormat="1" ht="15.75" thickBot="1">
      <c r="A20" s="730" t="s">
        <v>230</v>
      </c>
      <c r="B20" s="878"/>
      <c r="C20" s="873">
        <f>SUM(C17:C19)</f>
        <v>47.391649600741545</v>
      </c>
      <c r="D20" s="731">
        <f t="shared" ref="D20:R20" si="1">SUM(D17:D19)</f>
        <v>0</v>
      </c>
      <c r="E20" s="731">
        <f t="shared" si="1"/>
        <v>159.95482196022698</v>
      </c>
      <c r="F20" s="731">
        <f t="shared" si="1"/>
        <v>241.8290350118115</v>
      </c>
      <c r="G20" s="731">
        <f t="shared" si="1"/>
        <v>0</v>
      </c>
      <c r="H20" s="731">
        <f t="shared" si="1"/>
        <v>114227.31248212109</v>
      </c>
      <c r="I20" s="731">
        <f t="shared" si="1"/>
        <v>18479.153581761722</v>
      </c>
      <c r="J20" s="731">
        <f t="shared" si="1"/>
        <v>0</v>
      </c>
      <c r="K20" s="731">
        <f t="shared" si="1"/>
        <v>0</v>
      </c>
      <c r="L20" s="731">
        <f t="shared" si="1"/>
        <v>0</v>
      </c>
      <c r="M20" s="731">
        <f t="shared" si="1"/>
        <v>0</v>
      </c>
      <c r="N20" s="731">
        <f t="shared" si="1"/>
        <v>7220.2132349723843</v>
      </c>
      <c r="O20" s="731">
        <f t="shared" si="1"/>
        <v>0</v>
      </c>
      <c r="P20" s="731">
        <f t="shared" si="1"/>
        <v>0</v>
      </c>
      <c r="Q20" s="732">
        <f t="shared" si="1"/>
        <v>0</v>
      </c>
      <c r="R20" s="733">
        <f t="shared" si="1"/>
        <v>140375.85480542795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2546.278499413017</v>
      </c>
      <c r="D22" s="727">
        <f>+landbouw!C8</f>
        <v>17228.571428571428</v>
      </c>
      <c r="E22" s="727">
        <f>+landbouw!D8</f>
        <v>0</v>
      </c>
      <c r="F22" s="727">
        <f>+landbouw!E8</f>
        <v>74.842902329945588</v>
      </c>
      <c r="G22" s="727">
        <f>+landbouw!F8</f>
        <v>10607.658634886493</v>
      </c>
      <c r="H22" s="727">
        <f>+landbouw!G8</f>
        <v>0</v>
      </c>
      <c r="I22" s="727">
        <f>+landbouw!H8</f>
        <v>0</v>
      </c>
      <c r="J22" s="727">
        <f>+landbouw!I8</f>
        <v>0</v>
      </c>
      <c r="K22" s="727">
        <f>+landbouw!J8</f>
        <v>368.90107260823316</v>
      </c>
      <c r="L22" s="727">
        <f>+landbouw!K8</f>
        <v>0</v>
      </c>
      <c r="M22" s="727">
        <f>+landbouw!L8</f>
        <v>0</v>
      </c>
      <c r="N22" s="727">
        <f>+landbouw!M8</f>
        <v>0</v>
      </c>
      <c r="O22" s="727">
        <f>+landbouw!N8</f>
        <v>0</v>
      </c>
      <c r="P22" s="727">
        <f>+landbouw!O8</f>
        <v>0</v>
      </c>
      <c r="Q22" s="728">
        <f>+landbouw!P8</f>
        <v>0</v>
      </c>
      <c r="R22" s="729">
        <f>SUM(C22:Q22)</f>
        <v>30826.252537809116</v>
      </c>
      <c r="S22" s="67"/>
    </row>
    <row r="23" spans="1:19" s="474" customFormat="1" ht="17.25" thickTop="1" thickBot="1">
      <c r="A23" s="734" t="s">
        <v>116</v>
      </c>
      <c r="B23" s="864"/>
      <c r="C23" s="735">
        <f ca="1">C20+C15+C22</f>
        <v>43404.713828198255</v>
      </c>
      <c r="D23" s="735">
        <f t="shared" ref="D23:Q23" ca="1" si="2">D20+D15+D22</f>
        <v>17228.571428571428</v>
      </c>
      <c r="E23" s="735">
        <f t="shared" ca="1" si="2"/>
        <v>97167.286022670567</v>
      </c>
      <c r="F23" s="735">
        <f t="shared" si="2"/>
        <v>4318.2749006499416</v>
      </c>
      <c r="G23" s="735">
        <f t="shared" ca="1" si="2"/>
        <v>19517.699074447184</v>
      </c>
      <c r="H23" s="735">
        <f t="shared" si="2"/>
        <v>114227.31248212109</v>
      </c>
      <c r="I23" s="735">
        <f t="shared" si="2"/>
        <v>18479.153581761722</v>
      </c>
      <c r="J23" s="735">
        <f t="shared" si="2"/>
        <v>0</v>
      </c>
      <c r="K23" s="735">
        <f t="shared" si="2"/>
        <v>371.49550927981716</v>
      </c>
      <c r="L23" s="735">
        <f t="shared" si="2"/>
        <v>0</v>
      </c>
      <c r="M23" s="735">
        <f t="shared" ca="1" si="2"/>
        <v>0</v>
      </c>
      <c r="N23" s="735">
        <f t="shared" si="2"/>
        <v>7220.2132349723843</v>
      </c>
      <c r="O23" s="735">
        <f t="shared" ca="1" si="2"/>
        <v>28864.893434800681</v>
      </c>
      <c r="P23" s="735">
        <f t="shared" si="2"/>
        <v>287.65333333333336</v>
      </c>
      <c r="Q23" s="736">
        <f t="shared" si="2"/>
        <v>991.46666666666658</v>
      </c>
      <c r="R23" s="737">
        <f ca="1">R20+R15+R22</f>
        <v>352078.73349747306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907.58411703276761</v>
      </c>
      <c r="D36" s="718">
        <f ca="1">tertiair!C20</f>
        <v>0</v>
      </c>
      <c r="E36" s="718">
        <f ca="1">tertiair!D20</f>
        <v>3470.016554191981</v>
      </c>
      <c r="F36" s="718">
        <f>tertiair!E20</f>
        <v>36.622130131953</v>
      </c>
      <c r="G36" s="718">
        <f ca="1">tertiair!F20</f>
        <v>675.61040048643201</v>
      </c>
      <c r="H36" s="718">
        <f>tertiair!G20</f>
        <v>0</v>
      </c>
      <c r="I36" s="718">
        <f>tertiair!H20</f>
        <v>0</v>
      </c>
      <c r="J36" s="718">
        <f>tertiair!I20</f>
        <v>0</v>
      </c>
      <c r="K36" s="718">
        <f>tertiair!J20</f>
        <v>2.8206436401214792E-2</v>
      </c>
      <c r="L36" s="718">
        <f>tertiair!K20</f>
        <v>0</v>
      </c>
      <c r="M36" s="718">
        <f ca="1">tertiair!L20</f>
        <v>0</v>
      </c>
      <c r="N36" s="718">
        <f>tertiair!M20</f>
        <v>0</v>
      </c>
      <c r="O36" s="718">
        <f ca="1">tertiair!N20</f>
        <v>0</v>
      </c>
      <c r="P36" s="718">
        <f>tertiair!O20</f>
        <v>0</v>
      </c>
      <c r="Q36" s="828">
        <f>tertiair!P20</f>
        <v>0</v>
      </c>
      <c r="R36" s="917">
        <f ca="1">SUM(C36:Q36)</f>
        <v>5089.8614082795348</v>
      </c>
    </row>
    <row r="37" spans="1:18">
      <c r="A37" s="885" t="s">
        <v>225</v>
      </c>
      <c r="B37" s="892"/>
      <c r="C37" s="718">
        <f ca="1">huishoudens!B12</f>
        <v>1592.9067560189008</v>
      </c>
      <c r="D37" s="718">
        <f ca="1">huishoudens!C12</f>
        <v>0</v>
      </c>
      <c r="E37" s="718">
        <f>huishoudens!D12</f>
        <v>15599.570560961989</v>
      </c>
      <c r="F37" s="718">
        <f>huishoudens!E12</f>
        <v>807.36130108573161</v>
      </c>
      <c r="G37" s="718">
        <f>huishoudens!F12</f>
        <v>1479.8961393749967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19479.734757441616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125.73492444641369</v>
      </c>
      <c r="D39" s="718">
        <f ca="1">industrie!C22</f>
        <v>0</v>
      </c>
      <c r="E39" s="718">
        <f>industrie!D22</f>
        <v>525.89378738951825</v>
      </c>
      <c r="F39" s="718">
        <f>industrie!E22</f>
        <v>64.380441453273249</v>
      </c>
      <c r="G39" s="718">
        <f>industrie!F22</f>
        <v>223.4742575012755</v>
      </c>
      <c r="H39" s="718">
        <f>industrie!G22</f>
        <v>0</v>
      </c>
      <c r="I39" s="718">
        <f>industrie!H22</f>
        <v>0</v>
      </c>
      <c r="J39" s="718">
        <f>industrie!I22</f>
        <v>0</v>
      </c>
      <c r="K39" s="718">
        <f>industrie!J22</f>
        <v>0.89022414533951366</v>
      </c>
      <c r="L39" s="718">
        <f>industrie!K22</f>
        <v>0</v>
      </c>
      <c r="M39" s="718">
        <f>industrie!L22</f>
        <v>0</v>
      </c>
      <c r="N39" s="718">
        <f>industrie!M22</f>
        <v>0</v>
      </c>
      <c r="O39" s="718">
        <f>industrie!N22</f>
        <v>0</v>
      </c>
      <c r="P39" s="718">
        <f>industrie!O22</f>
        <v>0</v>
      </c>
      <c r="Q39" s="828">
        <f>industrie!P22</f>
        <v>0</v>
      </c>
      <c r="R39" s="918">
        <f ca="1">SUM(C39:Q39)</f>
        <v>940.37363493582018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2626.2257974980816</v>
      </c>
      <c r="D41" s="763">
        <f t="shared" ref="D41:R41" ca="1" si="4">SUM(D35:D40)</f>
        <v>0</v>
      </c>
      <c r="E41" s="763">
        <f t="shared" ca="1" si="4"/>
        <v>19595.480902543488</v>
      </c>
      <c r="F41" s="763">
        <f t="shared" si="4"/>
        <v>908.36387267095779</v>
      </c>
      <c r="G41" s="763">
        <f t="shared" ca="1" si="4"/>
        <v>2378.9807973627044</v>
      </c>
      <c r="H41" s="763">
        <f t="shared" si="4"/>
        <v>0</v>
      </c>
      <c r="I41" s="763">
        <f t="shared" si="4"/>
        <v>0</v>
      </c>
      <c r="J41" s="763">
        <f t="shared" si="4"/>
        <v>0</v>
      </c>
      <c r="K41" s="763">
        <f t="shared" si="4"/>
        <v>0.91843058174072845</v>
      </c>
      <c r="L41" s="763">
        <f t="shared" si="4"/>
        <v>0</v>
      </c>
      <c r="M41" s="763">
        <f t="shared" ca="1" si="4"/>
        <v>0</v>
      </c>
      <c r="N41" s="763">
        <f t="shared" si="4"/>
        <v>0</v>
      </c>
      <c r="O41" s="763">
        <f t="shared" ca="1" si="4"/>
        <v>0</v>
      </c>
      <c r="P41" s="763">
        <f t="shared" si="4"/>
        <v>0</v>
      </c>
      <c r="Q41" s="764">
        <f t="shared" si="4"/>
        <v>0</v>
      </c>
      <c r="R41" s="765">
        <f t="shared" ca="1" si="4"/>
        <v>25509.969800656971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343.38141590891678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343.38141590891678</v>
      </c>
    </row>
    <row r="45" spans="1:18" ht="15" thickBot="1">
      <c r="A45" s="888" t="s">
        <v>307</v>
      </c>
      <c r="B45" s="898"/>
      <c r="C45" s="727">
        <f ca="1">transport!B18</f>
        <v>3.049693454199458</v>
      </c>
      <c r="D45" s="727">
        <f>transport!C18</f>
        <v>0</v>
      </c>
      <c r="E45" s="727">
        <f>transport!D18</f>
        <v>32.310874035965853</v>
      </c>
      <c r="F45" s="727">
        <f>transport!E18</f>
        <v>54.895190947681215</v>
      </c>
      <c r="G45" s="727">
        <f>transport!F18</f>
        <v>0</v>
      </c>
      <c r="H45" s="727">
        <f>transport!G18</f>
        <v>30155.311016817417</v>
      </c>
      <c r="I45" s="727">
        <f>transport!H18</f>
        <v>4601.3092418586684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34846.876017113937</v>
      </c>
    </row>
    <row r="46" spans="1:18" ht="15.75" thickBot="1">
      <c r="A46" s="886" t="s">
        <v>230</v>
      </c>
      <c r="B46" s="899"/>
      <c r="C46" s="763">
        <f t="shared" ref="C46:R46" ca="1" si="5">SUM(C43:C45)</f>
        <v>3.049693454199458</v>
      </c>
      <c r="D46" s="763">
        <f t="shared" ca="1" si="5"/>
        <v>0</v>
      </c>
      <c r="E46" s="763">
        <f t="shared" si="5"/>
        <v>32.310874035965853</v>
      </c>
      <c r="F46" s="763">
        <f t="shared" si="5"/>
        <v>54.895190947681215</v>
      </c>
      <c r="G46" s="763">
        <f t="shared" si="5"/>
        <v>0</v>
      </c>
      <c r="H46" s="763">
        <f t="shared" si="5"/>
        <v>30498.692432726333</v>
      </c>
      <c r="I46" s="763">
        <f t="shared" si="5"/>
        <v>4601.3092418586684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35190.257433022853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163.85521368530692</v>
      </c>
      <c r="D48" s="718">
        <f ca="1">+landbouw!C12</f>
        <v>4094.3193277310938</v>
      </c>
      <c r="E48" s="718">
        <f>+landbouw!D12</f>
        <v>0</v>
      </c>
      <c r="F48" s="718">
        <f>+landbouw!E12</f>
        <v>16.989338828897647</v>
      </c>
      <c r="G48" s="718">
        <f>+landbouw!F12</f>
        <v>2832.2448555146939</v>
      </c>
      <c r="H48" s="718">
        <f>+landbouw!G12</f>
        <v>0</v>
      </c>
      <c r="I48" s="718">
        <f>+landbouw!H12</f>
        <v>0</v>
      </c>
      <c r="J48" s="718">
        <f>+landbouw!I12</f>
        <v>0</v>
      </c>
      <c r="K48" s="718">
        <f>+landbouw!J12</f>
        <v>130.59097970331453</v>
      </c>
      <c r="L48" s="718">
        <f>+landbouw!K12</f>
        <v>0</v>
      </c>
      <c r="M48" s="718">
        <f>+landbouw!L12</f>
        <v>0</v>
      </c>
      <c r="N48" s="718">
        <f>+landbouw!M12</f>
        <v>0</v>
      </c>
      <c r="O48" s="718">
        <f>+landbouw!N12</f>
        <v>0</v>
      </c>
      <c r="P48" s="718">
        <f>+landbouw!O12</f>
        <v>0</v>
      </c>
      <c r="Q48" s="719">
        <f>+landbouw!P12</f>
        <v>0</v>
      </c>
      <c r="R48" s="761">
        <f ca="1">SUM(C48:Q48)</f>
        <v>7237.9997154633065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2793.1307046375878</v>
      </c>
      <c r="D53" s="773">
        <f t="shared" ref="D53:Q53" ca="1" si="6">D41+D46+D48</f>
        <v>4094.3193277310938</v>
      </c>
      <c r="E53" s="773">
        <f t="shared" ca="1" si="6"/>
        <v>19627.791776579455</v>
      </c>
      <c r="F53" s="773">
        <f t="shared" si="6"/>
        <v>980.24840244753659</v>
      </c>
      <c r="G53" s="773">
        <f t="shared" ca="1" si="6"/>
        <v>5211.2256528773978</v>
      </c>
      <c r="H53" s="773">
        <f t="shared" si="6"/>
        <v>30498.692432726333</v>
      </c>
      <c r="I53" s="773">
        <f t="shared" si="6"/>
        <v>4601.3092418586684</v>
      </c>
      <c r="J53" s="773">
        <f t="shared" si="6"/>
        <v>0</v>
      </c>
      <c r="K53" s="773">
        <f t="shared" si="6"/>
        <v>131.50941028505525</v>
      </c>
      <c r="L53" s="773">
        <f t="shared" si="6"/>
        <v>0</v>
      </c>
      <c r="M53" s="773">
        <f t="shared" ca="1" si="6"/>
        <v>0</v>
      </c>
      <c r="N53" s="773">
        <f t="shared" si="6"/>
        <v>0</v>
      </c>
      <c r="O53" s="773">
        <f t="shared" ca="1" si="6"/>
        <v>0</v>
      </c>
      <c r="P53" s="773">
        <f>P41+P46+P48</f>
        <v>0</v>
      </c>
      <c r="Q53" s="774">
        <f t="shared" si="6"/>
        <v>0</v>
      </c>
      <c r="R53" s="775">
        <f ca="1">R41+R46+R48</f>
        <v>67938.226949143122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6.4350860961626843E-2</v>
      </c>
      <c r="D55" s="836">
        <f t="shared" ca="1" si="7"/>
        <v>0.23764705882352952</v>
      </c>
      <c r="E55" s="836">
        <f t="shared" ca="1" si="7"/>
        <v>0.20200000000000001</v>
      </c>
      <c r="F55" s="836">
        <f t="shared" si="7"/>
        <v>0.22699999999999995</v>
      </c>
      <c r="G55" s="836">
        <f t="shared" ca="1" si="7"/>
        <v>0.26699999999999996</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27729.892099744768</v>
      </c>
      <c r="C64" s="795">
        <f>'lokale energieproductie'!B4</f>
        <v>27729.892099744768</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4747.5622028605585</v>
      </c>
      <c r="C66" s="795">
        <f>'lokale energieproductie'!B6</f>
        <v>4747.5622028605585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12060</v>
      </c>
      <c r="C67" s="794">
        <f>B67*IFERROR(SUM(J67:L67)/SUM(D67:M67),0)</f>
        <v>0</v>
      </c>
      <c r="D67" s="826">
        <f>'lokale energieproductie'!C7</f>
        <v>14188.23529411765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2866.0235294117656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44537.454302605329</v>
      </c>
      <c r="C69" s="803">
        <f>SUM(C64:C68)</f>
        <v>32477.454302605325</v>
      </c>
      <c r="D69" s="804">
        <f t="shared" ref="D69:M69" si="8">SUM(D67:D68)</f>
        <v>14188.23529411765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2866.0235294117656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17228.571428571428</v>
      </c>
      <c r="C78" s="817">
        <f>B78*IFERROR(SUM(I78:L78)/SUM(D78:M78),0)</f>
        <v>0</v>
      </c>
      <c r="D78" s="832">
        <f>'lokale energieproductie'!C16</f>
        <v>20268.907563025215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4094.3193277310938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17228.571428571428</v>
      </c>
      <c r="C81" s="803">
        <f>SUM(C78:C80)</f>
        <v>0</v>
      </c>
      <c r="D81" s="803">
        <f t="shared" ref="D81:P81" si="9">SUM(D78:D80)</f>
        <v>20268.907563025215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4094.3193277310938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24753.464556888663</v>
      </c>
      <c r="C4" s="478">
        <f>huishoudens!C8</f>
        <v>0</v>
      </c>
      <c r="D4" s="478">
        <f>huishoudens!D8</f>
        <v>77225.596836445489</v>
      </c>
      <c r="E4" s="478">
        <f>huishoudens!E8</f>
        <v>3556.6577140340596</v>
      </c>
      <c r="F4" s="478">
        <f>huishoudens!F8</f>
        <v>5542.6821699438078</v>
      </c>
      <c r="G4" s="478">
        <f>huishoudens!G8</f>
        <v>0</v>
      </c>
      <c r="H4" s="478">
        <f>huishoudens!H8</f>
        <v>0</v>
      </c>
      <c r="I4" s="478">
        <f>huishoudens!I8</f>
        <v>0</v>
      </c>
      <c r="J4" s="478">
        <f>huishoudens!J8</f>
        <v>0</v>
      </c>
      <c r="K4" s="478">
        <f>huishoudens!K8</f>
        <v>0</v>
      </c>
      <c r="L4" s="478">
        <f>huishoudens!L8</f>
        <v>0</v>
      </c>
      <c r="M4" s="478">
        <f>huishoudens!M8</f>
        <v>0</v>
      </c>
      <c r="N4" s="478">
        <f>huishoudens!N8</f>
        <v>25273.35847297755</v>
      </c>
      <c r="O4" s="478">
        <f>huishoudens!O8</f>
        <v>281.40000000000003</v>
      </c>
      <c r="P4" s="479">
        <f>huishoudens!P8</f>
        <v>953.33333333333326</v>
      </c>
      <c r="Q4" s="480">
        <f>SUM(B4:P4)</f>
        <v>137586.49308362292</v>
      </c>
    </row>
    <row r="5" spans="1:17">
      <c r="A5" s="477" t="s">
        <v>156</v>
      </c>
      <c r="B5" s="478">
        <f ca="1">tertiair!B16</f>
        <v>13386.433584355324</v>
      </c>
      <c r="C5" s="478">
        <f ca="1">tertiair!C16</f>
        <v>0</v>
      </c>
      <c r="D5" s="478">
        <f ca="1">tertiair!D16</f>
        <v>17178.299773227627</v>
      </c>
      <c r="E5" s="478">
        <f>tertiair!E16</f>
        <v>161.33096974428634</v>
      </c>
      <c r="F5" s="478">
        <f ca="1">tertiair!F16</f>
        <v>2530.3760317843894</v>
      </c>
      <c r="G5" s="478">
        <f>tertiair!G16</f>
        <v>0</v>
      </c>
      <c r="H5" s="478">
        <f>tertiair!H16</f>
        <v>0</v>
      </c>
      <c r="I5" s="478">
        <f>tertiair!I16</f>
        <v>0</v>
      </c>
      <c r="J5" s="478">
        <f>tertiair!J16</f>
        <v>7.9679198873488122E-2</v>
      </c>
      <c r="K5" s="478">
        <f>tertiair!K16</f>
        <v>0</v>
      </c>
      <c r="L5" s="478">
        <f ca="1">tertiair!L16</f>
        <v>0</v>
      </c>
      <c r="M5" s="478">
        <f>tertiair!M16</f>
        <v>0</v>
      </c>
      <c r="N5" s="478">
        <f ca="1">tertiair!N16</f>
        <v>3133.1857750135509</v>
      </c>
      <c r="O5" s="478">
        <f>tertiair!O16</f>
        <v>6.2533333333333339</v>
      </c>
      <c r="P5" s="479">
        <f>tertiair!P16</f>
        <v>38.133333333333333</v>
      </c>
      <c r="Q5" s="477">
        <f t="shared" ref="Q5:Q13" ca="1" si="0">SUM(B5:P5)</f>
        <v>36434.092479990722</v>
      </c>
    </row>
    <row r="6" spans="1:17">
      <c r="A6" s="477" t="s">
        <v>194</v>
      </c>
      <c r="B6" s="478">
        <f>'openbare verlichting'!B8</f>
        <v>717.24900000000002</v>
      </c>
      <c r="C6" s="478"/>
      <c r="D6" s="478"/>
      <c r="E6" s="478"/>
      <c r="F6" s="478"/>
      <c r="G6" s="478"/>
      <c r="H6" s="478"/>
      <c r="I6" s="478"/>
      <c r="J6" s="478"/>
      <c r="K6" s="478"/>
      <c r="L6" s="478"/>
      <c r="M6" s="478"/>
      <c r="N6" s="478"/>
      <c r="O6" s="478"/>
      <c r="P6" s="479"/>
      <c r="Q6" s="477">
        <f t="shared" si="0"/>
        <v>717.24900000000002</v>
      </c>
    </row>
    <row r="7" spans="1:17">
      <c r="A7" s="477" t="s">
        <v>112</v>
      </c>
      <c r="B7" s="478">
        <f>landbouw!B8</f>
        <v>2546.278499413017</v>
      </c>
      <c r="C7" s="478">
        <f>landbouw!C8</f>
        <v>17228.571428571428</v>
      </c>
      <c r="D7" s="478">
        <f>landbouw!D8</f>
        <v>0</v>
      </c>
      <c r="E7" s="478">
        <f>landbouw!E8</f>
        <v>74.842902329945588</v>
      </c>
      <c r="F7" s="478">
        <f>landbouw!F8</f>
        <v>10607.658634886493</v>
      </c>
      <c r="G7" s="478">
        <f>landbouw!G8</f>
        <v>0</v>
      </c>
      <c r="H7" s="478">
        <f>landbouw!H8</f>
        <v>0</v>
      </c>
      <c r="I7" s="478">
        <f>landbouw!I8</f>
        <v>0</v>
      </c>
      <c r="J7" s="478">
        <f>landbouw!J8</f>
        <v>368.90107260823316</v>
      </c>
      <c r="K7" s="478">
        <f>landbouw!K8</f>
        <v>0</v>
      </c>
      <c r="L7" s="478">
        <f>landbouw!L8</f>
        <v>0</v>
      </c>
      <c r="M7" s="478">
        <f>landbouw!M8</f>
        <v>0</v>
      </c>
      <c r="N7" s="478">
        <f>landbouw!N8</f>
        <v>0</v>
      </c>
      <c r="O7" s="478">
        <f>landbouw!O8</f>
        <v>0</v>
      </c>
      <c r="P7" s="479">
        <f>landbouw!P8</f>
        <v>0</v>
      </c>
      <c r="Q7" s="477">
        <f t="shared" si="0"/>
        <v>30826.252537809116</v>
      </c>
    </row>
    <row r="8" spans="1:17">
      <c r="A8" s="477" t="s">
        <v>635</v>
      </c>
      <c r="B8" s="478">
        <f>industrie!B18</f>
        <v>1953.8965379405076</v>
      </c>
      <c r="C8" s="478">
        <f>industrie!C18</f>
        <v>0</v>
      </c>
      <c r="D8" s="478">
        <f>industrie!D18</f>
        <v>2603.434591037219</v>
      </c>
      <c r="E8" s="478">
        <f>industrie!E18</f>
        <v>283.61427952983809</v>
      </c>
      <c r="F8" s="478">
        <f>industrie!F18</f>
        <v>836.9822378324925</v>
      </c>
      <c r="G8" s="478">
        <f>industrie!G18</f>
        <v>0</v>
      </c>
      <c r="H8" s="478">
        <f>industrie!H18</f>
        <v>0</v>
      </c>
      <c r="I8" s="478">
        <f>industrie!I18</f>
        <v>0</v>
      </c>
      <c r="J8" s="478">
        <f>industrie!J18</f>
        <v>2.5147574727104907</v>
      </c>
      <c r="K8" s="478">
        <f>industrie!K18</f>
        <v>0</v>
      </c>
      <c r="L8" s="478">
        <f>industrie!L18</f>
        <v>0</v>
      </c>
      <c r="M8" s="478">
        <f>industrie!M18</f>
        <v>0</v>
      </c>
      <c r="N8" s="478">
        <f>industrie!N18</f>
        <v>458.34918680957918</v>
      </c>
      <c r="O8" s="478">
        <f>industrie!O18</f>
        <v>0</v>
      </c>
      <c r="P8" s="479">
        <f>industrie!P18</f>
        <v>0</v>
      </c>
      <c r="Q8" s="477">
        <f t="shared" si="0"/>
        <v>6138.791590622347</v>
      </c>
    </row>
    <row r="9" spans="1:17" s="483" customFormat="1">
      <c r="A9" s="481" t="s">
        <v>561</v>
      </c>
      <c r="B9" s="482">
        <f>transport!B14</f>
        <v>47.391649600741545</v>
      </c>
      <c r="C9" s="482"/>
      <c r="D9" s="482">
        <f>transport!D14</f>
        <v>159.95482196022698</v>
      </c>
      <c r="E9" s="482">
        <f>transport!E14</f>
        <v>241.8290350118115</v>
      </c>
      <c r="F9" s="482"/>
      <c r="G9" s="482">
        <f>transport!G14</f>
        <v>112941.23976336111</v>
      </c>
      <c r="H9" s="482">
        <f>transport!H14</f>
        <v>18479.153581761722</v>
      </c>
      <c r="I9" s="482"/>
      <c r="J9" s="482"/>
      <c r="K9" s="482"/>
      <c r="L9" s="482"/>
      <c r="M9" s="482">
        <f>transport!M14</f>
        <v>7147.1699820130698</v>
      </c>
      <c r="N9" s="482"/>
      <c r="O9" s="482"/>
      <c r="P9" s="482"/>
      <c r="Q9" s="481">
        <f>SUM(B9:P9)</f>
        <v>139016.73883370866</v>
      </c>
    </row>
    <row r="10" spans="1:17">
      <c r="A10" s="477" t="s">
        <v>551</v>
      </c>
      <c r="B10" s="478">
        <f>transport!B54</f>
        <v>0</v>
      </c>
      <c r="C10" s="478"/>
      <c r="D10" s="478">
        <f>transport!D54</f>
        <v>0</v>
      </c>
      <c r="E10" s="478"/>
      <c r="F10" s="478"/>
      <c r="G10" s="478">
        <f>transport!G54</f>
        <v>1286.0727187599878</v>
      </c>
      <c r="H10" s="478"/>
      <c r="I10" s="478"/>
      <c r="J10" s="478"/>
      <c r="K10" s="478"/>
      <c r="L10" s="478"/>
      <c r="M10" s="478">
        <f>transport!M54</f>
        <v>73.043252959314231</v>
      </c>
      <c r="N10" s="478"/>
      <c r="O10" s="478"/>
      <c r="P10" s="479"/>
      <c r="Q10" s="477">
        <f t="shared" si="0"/>
        <v>1359.115971719302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43404.713828198262</v>
      </c>
      <c r="C14" s="488">
        <f t="shared" ref="C14:Q14" ca="1" si="1">SUM(C4:C13)</f>
        <v>17228.571428571428</v>
      </c>
      <c r="D14" s="488">
        <f t="shared" ca="1" si="1"/>
        <v>97167.286022670567</v>
      </c>
      <c r="E14" s="488">
        <f t="shared" si="1"/>
        <v>4318.2749006499407</v>
      </c>
      <c r="F14" s="488">
        <f t="shared" ca="1" si="1"/>
        <v>19517.699074447184</v>
      </c>
      <c r="G14" s="488">
        <f t="shared" si="1"/>
        <v>114227.31248212109</v>
      </c>
      <c r="H14" s="488">
        <f t="shared" si="1"/>
        <v>18479.153581761722</v>
      </c>
      <c r="I14" s="488">
        <f t="shared" si="1"/>
        <v>0</v>
      </c>
      <c r="J14" s="488">
        <f t="shared" si="1"/>
        <v>371.4955092798171</v>
      </c>
      <c r="K14" s="488">
        <f t="shared" si="1"/>
        <v>0</v>
      </c>
      <c r="L14" s="488">
        <f t="shared" ca="1" si="1"/>
        <v>0</v>
      </c>
      <c r="M14" s="488">
        <f t="shared" si="1"/>
        <v>7220.2132349723843</v>
      </c>
      <c r="N14" s="488">
        <f t="shared" ca="1" si="1"/>
        <v>28864.893434800681</v>
      </c>
      <c r="O14" s="488">
        <f t="shared" si="1"/>
        <v>287.65333333333336</v>
      </c>
      <c r="P14" s="489">
        <f t="shared" si="1"/>
        <v>991.46666666666658</v>
      </c>
      <c r="Q14" s="489">
        <f t="shared" ca="1" si="1"/>
        <v>352078.73349747306</v>
      </c>
    </row>
    <row r="16" spans="1:17">
      <c r="A16" s="491" t="s">
        <v>556</v>
      </c>
      <c r="B16" s="841">
        <f ca="1">huishoudens!B10</f>
        <v>6.4350860961626857E-2</v>
      </c>
      <c r="C16" s="841">
        <f ca="1">huishoudens!C10</f>
        <v>0.23764705882352952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1592.9067560189008</v>
      </c>
      <c r="C21" s="478">
        <f t="shared" ref="C21:C28" ca="1" si="3">C4*$C$16</f>
        <v>0</v>
      </c>
      <c r="D21" s="478">
        <f t="shared" ref="D21:D30" si="4">D4*$D$16</f>
        <v>15599.570560961989</v>
      </c>
      <c r="E21" s="478">
        <f t="shared" ref="E21:E30" si="5">E4*$E$16</f>
        <v>807.36130108573161</v>
      </c>
      <c r="F21" s="478">
        <f t="shared" ref="F21:F28" si="6">F4*$F$16</f>
        <v>1479.8961393749967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19479.734757441616</v>
      </c>
    </row>
    <row r="22" spans="1:17">
      <c r="A22" s="477" t="s">
        <v>156</v>
      </c>
      <c r="B22" s="478">
        <f t="shared" ca="1" si="2"/>
        <v>861.42852635890165</v>
      </c>
      <c r="C22" s="478">
        <f t="shared" ca="1" si="3"/>
        <v>0</v>
      </c>
      <c r="D22" s="478">
        <f t="shared" ca="1" si="4"/>
        <v>3470.016554191981</v>
      </c>
      <c r="E22" s="478">
        <f t="shared" si="5"/>
        <v>36.622130131953</v>
      </c>
      <c r="F22" s="478">
        <f t="shared" ca="1" si="6"/>
        <v>675.61040048643201</v>
      </c>
      <c r="G22" s="478">
        <f t="shared" si="7"/>
        <v>0</v>
      </c>
      <c r="H22" s="478">
        <f t="shared" si="8"/>
        <v>0</v>
      </c>
      <c r="I22" s="478">
        <f t="shared" si="9"/>
        <v>0</v>
      </c>
      <c r="J22" s="478">
        <f t="shared" si="10"/>
        <v>2.8206436401214792E-2</v>
      </c>
      <c r="K22" s="478">
        <f t="shared" si="11"/>
        <v>0</v>
      </c>
      <c r="L22" s="478">
        <f t="shared" ca="1" si="12"/>
        <v>0</v>
      </c>
      <c r="M22" s="478">
        <f t="shared" si="13"/>
        <v>0</v>
      </c>
      <c r="N22" s="478">
        <f t="shared" ca="1" si="14"/>
        <v>0</v>
      </c>
      <c r="O22" s="478">
        <f t="shared" si="15"/>
        <v>0</v>
      </c>
      <c r="P22" s="479">
        <f t="shared" si="16"/>
        <v>0</v>
      </c>
      <c r="Q22" s="477">
        <f t="shared" ref="Q22:Q30" ca="1" si="17">SUM(B22:P22)</f>
        <v>5043.705817605668</v>
      </c>
    </row>
    <row r="23" spans="1:17">
      <c r="A23" s="477" t="s">
        <v>194</v>
      </c>
      <c r="B23" s="478">
        <f t="shared" ca="1" si="2"/>
        <v>46.155590673865902</v>
      </c>
      <c r="C23" s="478"/>
      <c r="D23" s="478"/>
      <c r="E23" s="478"/>
      <c r="F23" s="478"/>
      <c r="G23" s="478"/>
      <c r="H23" s="478"/>
      <c r="I23" s="478"/>
      <c r="J23" s="478"/>
      <c r="K23" s="478"/>
      <c r="L23" s="478"/>
      <c r="M23" s="478"/>
      <c r="N23" s="478"/>
      <c r="O23" s="478"/>
      <c r="P23" s="479"/>
      <c r="Q23" s="477">
        <f t="shared" ca="1" si="17"/>
        <v>46.155590673865902</v>
      </c>
    </row>
    <row r="24" spans="1:17">
      <c r="A24" s="477" t="s">
        <v>112</v>
      </c>
      <c r="B24" s="478">
        <f t="shared" ca="1" si="2"/>
        <v>163.85521368530692</v>
      </c>
      <c r="C24" s="478">
        <f t="shared" ca="1" si="3"/>
        <v>4094.3193277310938</v>
      </c>
      <c r="D24" s="478">
        <f t="shared" si="4"/>
        <v>0</v>
      </c>
      <c r="E24" s="478">
        <f t="shared" si="5"/>
        <v>16.989338828897647</v>
      </c>
      <c r="F24" s="478">
        <f t="shared" si="6"/>
        <v>2832.2448555146939</v>
      </c>
      <c r="G24" s="478">
        <f t="shared" si="7"/>
        <v>0</v>
      </c>
      <c r="H24" s="478">
        <f t="shared" si="8"/>
        <v>0</v>
      </c>
      <c r="I24" s="478">
        <f t="shared" si="9"/>
        <v>0</v>
      </c>
      <c r="J24" s="478">
        <f t="shared" si="10"/>
        <v>130.59097970331453</v>
      </c>
      <c r="K24" s="478">
        <f t="shared" si="11"/>
        <v>0</v>
      </c>
      <c r="L24" s="478">
        <f t="shared" si="12"/>
        <v>0</v>
      </c>
      <c r="M24" s="478">
        <f t="shared" si="13"/>
        <v>0</v>
      </c>
      <c r="N24" s="478">
        <f t="shared" si="14"/>
        <v>0</v>
      </c>
      <c r="O24" s="478">
        <f t="shared" si="15"/>
        <v>0</v>
      </c>
      <c r="P24" s="479">
        <f t="shared" si="16"/>
        <v>0</v>
      </c>
      <c r="Q24" s="477">
        <f t="shared" ca="1" si="17"/>
        <v>7237.9997154633065</v>
      </c>
    </row>
    <row r="25" spans="1:17">
      <c r="A25" s="477" t="s">
        <v>635</v>
      </c>
      <c r="B25" s="478">
        <f t="shared" ca="1" si="2"/>
        <v>125.73492444641369</v>
      </c>
      <c r="C25" s="478">
        <f t="shared" ca="1" si="3"/>
        <v>0</v>
      </c>
      <c r="D25" s="478">
        <f t="shared" si="4"/>
        <v>525.89378738951825</v>
      </c>
      <c r="E25" s="478">
        <f t="shared" si="5"/>
        <v>64.380441453273249</v>
      </c>
      <c r="F25" s="478">
        <f t="shared" si="6"/>
        <v>223.4742575012755</v>
      </c>
      <c r="G25" s="478">
        <f t="shared" si="7"/>
        <v>0</v>
      </c>
      <c r="H25" s="478">
        <f t="shared" si="8"/>
        <v>0</v>
      </c>
      <c r="I25" s="478">
        <f t="shared" si="9"/>
        <v>0</v>
      </c>
      <c r="J25" s="478">
        <f t="shared" si="10"/>
        <v>0.89022414533951366</v>
      </c>
      <c r="K25" s="478">
        <f t="shared" si="11"/>
        <v>0</v>
      </c>
      <c r="L25" s="478">
        <f t="shared" si="12"/>
        <v>0</v>
      </c>
      <c r="M25" s="478">
        <f t="shared" si="13"/>
        <v>0</v>
      </c>
      <c r="N25" s="478">
        <f t="shared" si="14"/>
        <v>0</v>
      </c>
      <c r="O25" s="478">
        <f t="shared" si="15"/>
        <v>0</v>
      </c>
      <c r="P25" s="479">
        <f t="shared" si="16"/>
        <v>0</v>
      </c>
      <c r="Q25" s="477">
        <f t="shared" ca="1" si="17"/>
        <v>940.37363493582018</v>
      </c>
    </row>
    <row r="26" spans="1:17" s="483" customFormat="1">
      <c r="A26" s="481" t="s">
        <v>561</v>
      </c>
      <c r="B26" s="835">
        <f t="shared" ca="1" si="2"/>
        <v>3.049693454199458</v>
      </c>
      <c r="C26" s="482"/>
      <c r="D26" s="482">
        <f t="shared" si="4"/>
        <v>32.310874035965853</v>
      </c>
      <c r="E26" s="482">
        <f t="shared" si="5"/>
        <v>54.895190947681215</v>
      </c>
      <c r="F26" s="482"/>
      <c r="G26" s="482">
        <f t="shared" si="7"/>
        <v>30155.311016817417</v>
      </c>
      <c r="H26" s="482">
        <f t="shared" si="8"/>
        <v>4601.3092418586684</v>
      </c>
      <c r="I26" s="482"/>
      <c r="J26" s="482"/>
      <c r="K26" s="482"/>
      <c r="L26" s="482"/>
      <c r="M26" s="482">
        <f t="shared" si="13"/>
        <v>0</v>
      </c>
      <c r="N26" s="482"/>
      <c r="O26" s="482"/>
      <c r="P26" s="493"/>
      <c r="Q26" s="481">
        <f t="shared" ca="1" si="17"/>
        <v>34846.876017113937</v>
      </c>
    </row>
    <row r="27" spans="1:17">
      <c r="A27" s="477" t="s">
        <v>551</v>
      </c>
      <c r="B27" s="478">
        <f t="shared" ca="1" si="2"/>
        <v>0</v>
      </c>
      <c r="C27" s="478"/>
      <c r="D27" s="482">
        <f t="shared" si="4"/>
        <v>0</v>
      </c>
      <c r="E27" s="478"/>
      <c r="F27" s="478"/>
      <c r="G27" s="478">
        <f t="shared" si="7"/>
        <v>343.38141590891678</v>
      </c>
      <c r="H27" s="478"/>
      <c r="I27" s="478"/>
      <c r="J27" s="478"/>
      <c r="K27" s="478"/>
      <c r="L27" s="478"/>
      <c r="M27" s="478">
        <f t="shared" si="13"/>
        <v>0</v>
      </c>
      <c r="N27" s="478"/>
      <c r="O27" s="478"/>
      <c r="P27" s="479"/>
      <c r="Q27" s="477">
        <f t="shared" ca="1" si="17"/>
        <v>343.38141590891678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2793.1307046375878</v>
      </c>
      <c r="C31" s="488">
        <f t="shared" ca="1" si="18"/>
        <v>4094.3193277310938</v>
      </c>
      <c r="D31" s="488">
        <f t="shared" ca="1" si="18"/>
        <v>19627.791776579455</v>
      </c>
      <c r="E31" s="488">
        <f t="shared" si="18"/>
        <v>980.24840244753659</v>
      </c>
      <c r="F31" s="488">
        <f t="shared" ca="1" si="18"/>
        <v>5211.2256528773978</v>
      </c>
      <c r="G31" s="488">
        <f t="shared" si="18"/>
        <v>30498.692432726333</v>
      </c>
      <c r="H31" s="488">
        <f t="shared" si="18"/>
        <v>4601.3092418586684</v>
      </c>
      <c r="I31" s="488">
        <f t="shared" si="18"/>
        <v>0</v>
      </c>
      <c r="J31" s="488">
        <f t="shared" si="18"/>
        <v>131.50941028505525</v>
      </c>
      <c r="K31" s="488">
        <f t="shared" si="18"/>
        <v>0</v>
      </c>
      <c r="L31" s="488">
        <f t="shared" ca="1" si="18"/>
        <v>0</v>
      </c>
      <c r="M31" s="488">
        <f t="shared" si="18"/>
        <v>0</v>
      </c>
      <c r="N31" s="488">
        <f t="shared" ca="1" si="18"/>
        <v>0</v>
      </c>
      <c r="O31" s="488">
        <f t="shared" si="18"/>
        <v>0</v>
      </c>
      <c r="P31" s="489">
        <f t="shared" si="18"/>
        <v>0</v>
      </c>
      <c r="Q31" s="489">
        <f t="shared" ca="1" si="18"/>
        <v>67938.226949143136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6.4350860961626857E-2</v>
      </c>
      <c r="C17" s="528">
        <f ca="1">'EF ele_warmte'!B22</f>
        <v>0.23764705882352952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6.4350860961626857E-2</v>
      </c>
      <c r="C17" s="528">
        <f ca="1">'EF ele_warmte'!B22</f>
        <v>0.23764705882352952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6.4350860961626857E-2</v>
      </c>
      <c r="C29" s="529">
        <f ca="1">'EF ele_warmte'!B22</f>
        <v>0.23764705882352952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2019-01-01T21:17:47Z</dcterms:modified>
</cp:coreProperties>
</file>