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J15" i="16"/>
  <c r="F16"/>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D10" i="14"/>
  <c r="M17" i="18"/>
  <c r="M18"/>
  <c r="K28" i="48" l="1"/>
  <c r="K31" s="1"/>
  <c r="J24"/>
  <c r="D28"/>
  <c r="D30"/>
  <c r="H25"/>
  <c r="H24"/>
  <c r="D21"/>
  <c r="F28"/>
  <c r="G22" i="14"/>
  <c r="P22" i="16"/>
  <c r="Q39" i="14" s="1"/>
  <c r="G11"/>
  <c r="J12" i="17"/>
  <c r="K48" i="14" s="1"/>
  <c r="Q13"/>
  <c r="B35" i="13"/>
  <c r="B47" s="1"/>
  <c r="J15" i="14"/>
  <c r="J23" s="1"/>
  <c r="P8" i="48"/>
  <c r="P25" s="1"/>
  <c r="D18" i="16"/>
  <c r="E13" i="14" s="1"/>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F5" i="15"/>
  <c r="F16" s="1"/>
  <c r="B5"/>
  <c r="B16" s="1"/>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41" i="14" l="1"/>
  <c r="Q53" s="1"/>
  <c r="Q55" s="1"/>
  <c r="Q15"/>
  <c r="Q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17" i="49" l="1"/>
  <c r="C29" i="20"/>
  <c r="C17" i="19"/>
  <c r="C19" s="1"/>
  <c r="D35" i="14" s="1"/>
  <c r="C20" i="16"/>
  <c r="C22" s="1"/>
  <c r="D39" i="14" s="1"/>
  <c r="C18" i="15"/>
  <c r="C20" s="1"/>
  <c r="D36" i="14" s="1"/>
  <c r="C10" i="13"/>
  <c r="C16" i="22"/>
  <c r="C10" i="17"/>
  <c r="C12" s="1"/>
  <c r="D48" i="14" s="1"/>
  <c r="C56" i="22"/>
  <c r="C58" s="1"/>
  <c r="D44" i="14" s="1"/>
  <c r="D46" s="1"/>
  <c r="Q5" i="48"/>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F14" i="48"/>
  <c r="D41" i="14" l="1"/>
  <c r="D53" s="1"/>
  <c r="D55" s="1"/>
  <c r="K55"/>
  <c r="C28" i="4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<sst xmlns="http://schemas.openxmlformats.org/spreadsheetml/2006/main" count="2117" uniqueCount="856">
  <si>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</si>
  <si>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</si>
  <si>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</si>
  <si>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</si>
  <si>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</si>
  <si>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</si>
  <si>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</si>
  <si>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</si>
  <si>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</si>
  <si>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</si>
  <si>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</si>
  <si>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</si>
  <si>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</si>
  <si>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</si>
  <si>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</si>
  <si>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</si>
  <si>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</si>
  <si>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</si>
  <si>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</si>
  <si>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</si>
  <si>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</si>
  <si>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</si>
  <si>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</si>
  <si>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</si>
  <si>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</si>
  <si>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</si>
  <si>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</si>
  <si>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</si>
  <si>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</si>
  <si>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</si>
  <si>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</si>
  <si>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</si>
  <si>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</si>
  <si>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</si>
  <si>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</si>
  <si>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</si>
  <si>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</si>
  <si>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</si>
  <si>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</si>
  <si>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</si>
  <si>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</si>
  <si>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</si>
  <si>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</si>
  <si>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</si>
  <si>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</si>
  <si>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</si>
  <si>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</si>
  <si>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</si>
  <si>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</si>
  <si>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</si>
  <si>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</si>
  <si>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</si>
  <si>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</si>
  <si>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</si>
  <si>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</si>
  <si>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</si>
  <si>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</si>
  <si>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</si>
  <si>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</si>
  <si>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</si>
  <si>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</si>
  <si>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</si>
  <si>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</si>
  <si>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</si>
  <si>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</si>
  <si>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</si>
  <si>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</si>
  <si>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</si>
  <si>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</si>
  <si>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</si>
  <si>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</si>
  <si>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</si>
  <si>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</si>
  <si>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</si>
  <si>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</si>
  <si>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</si>
  <si>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</si>
  <si>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</si>
  <si>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</si>
  <si>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</si>
  <si>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</si>
  <si>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</si>
  <si>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</si>
  <si>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</si>
  <si>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</si>
  <si>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</si>
  <si>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</si>
  <si>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</si>
  <si>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</si>
  <si>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</si>
  <si>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</si>
  <si>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</si>
  <si>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</si>
  <si>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</si>
  <si>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</si>
  <si>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</si>
  <si>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</si>
  <si>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</si>
  <si>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</si>
  <si>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</si>
  <si>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</si>
  <si>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</si>
  <si>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</si>
  <si>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</si>
  <si>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</si>
  <si>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</si>
  <si>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</si>
  <si>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</si>
  <si>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</si>
  <si>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</si>
  <si>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</si>
  <si>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</si>
  <si>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</si>
  <si>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</si>
  <si>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</si>
  <si>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</si>
  <si>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</si>
  <si>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</si>
  <si>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</si>
  <si>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</si>
  <si>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</si>
  <si>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</si>
  <si>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</si>
  <si>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</si>
  <si>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</si>
  <si>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</si>
  <si>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</si>
  <si>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</si>
  <si>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</si>
  <si>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</si>
  <si>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</si>
  <si>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</si>
  <si>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</si>
  <si>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</si>
  <si>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</si>
  <si>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</si>
  <si>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</si>
  <si>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</si>
  <si>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</si>
  <si>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</si>
  <si>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</si>
  <si>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</si>
  <si>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</si>
  <si>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</si>
  <si>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</si>
  <si>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</si>
  <si>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</si>
  <si>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</si>
  <si>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</si>
  <si>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</si>
  <si>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</si>
  <si>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</si>
  <si>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</si>
  <si>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</si>
  <si>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</si>
  <si>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</si>
  <si>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</si>
  <si>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</si>
  <si>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</si>
  <si>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</si>
  <si>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</si>
  <si>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</si>
  <si>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</si>
  <si>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</si>
  <si>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</si>
  <si>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</si>
  <si>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</si>
  <si>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</si>
  <si>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</si>
  <si>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</si>
  <si>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</si>
  <si>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</si>
  <si>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</si>
  <si>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</si>
  <si>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</si>
  <si>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</si>
  <si>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</si>
  <si>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</si>
  <si>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</si>
  <si>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</si>
  <si>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</si>
  <si>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</si>
  <si>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</si>
  <si>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</si>
  <si>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</si>
  <si>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</si>
  <si>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</si>
  <si>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</si>
  <si>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</si>
  <si>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</si>
  <si>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</si>
  <si>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</si>
  <si>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</si>
  <si>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</si>
  <si>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</si>
  <si>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</si>
  <si>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</si>
  <si>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</si>
  <si>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</si>
  <si>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</si>
  <si>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</si>
  <si>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</si>
  <si>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</si>
  <si>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</si>
  <si>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</si>
  <si>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</si>
  <si>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</si>
  <si>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</si>
  <si>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</si>
  <si>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</si>
  <si>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</si>
  <si>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</si>
  <si>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</si>
  <si>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</si>
  <si>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</si>
  <si>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</si>
  <si>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</si>
  <si>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</si>
  <si>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</si>
  <si>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</si>
  <si>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</si>
  <si>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</si>
  <si>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</si>
  <si>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</si>
  <si>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</si>
  <si>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</si>
  <si>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</si>
  <si>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</si>
  <si>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</si>
  <si>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</si>
  <si>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</si>
  <si>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</si>
  <si>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</si>
  <si>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</si>
  <si>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</si>
  <si>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</si>
  <si>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</si>
  <si>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</si>
  <si>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</si>
  <si>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</si>
  <si>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</si>
  <si>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</si>
  <si>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</si>
  <si>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</si>
  <si>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</si>
  <si>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</si>
  <si>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</si>
  <si>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</si>
  <si>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</si>
  <si>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</si>
  <si>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</si>
  <si>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</si>
  <si>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</si>
  <si>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</si>
  <si>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</si>
  <si>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</si>
  <si>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</si>
  <si>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</si>
  <si>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</si>
  <si>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</si>
  <si>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</si>
  <si>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</si>
  <si>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</si>
  <si>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</si>
  <si>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</si>
  <si>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</si>
  <si>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</si>
  <si>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</si>
  <si>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</si>
  <si>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</si>
  <si>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</si>
  <si>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</si>
  <si>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</si>
  <si>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</si>
  <si>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</si>
  <si>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</si>
  <si>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</si>
  <si>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</si>
  <si>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</si>
  <si>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</si>
  <si>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</si>
  <si>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</si>
  <si>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</si>
  <si>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</si>
  <si>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</si>
  <si>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</si>
  <si>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</si>
  <si>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</si>
  <si>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</si>
  <si>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</si>
  <si>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</si>
  <si>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</si>
  <si>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</si>
  <si>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</si>
  <si>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</si>
  <si>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</si>
  <si>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</si>
  <si>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</si>
  <si>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</si>
  <si>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</si>
  <si>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</si>
  <si>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</si>
  <si>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</si>
  <si>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</si>
  <si>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</si>
  <si>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</si>
  <si>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</si>
  <si>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</si>
  <si>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</si>
  <si>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</si>
  <si>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</si>
  <si>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</si>
  <si>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</si>
  <si>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</si>
  <si>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</si>
  <si>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</si>
  <si>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</si>
  <si>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</si>
  <si>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</si>
  <si>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</si>
  <si>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</si>
  <si>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</si>
  <si>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</si>
  <si>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</si>
  <si>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</si>
  <si>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</si>
  <si>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</si>
  <si>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</si>
  <si>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</si>
  <si>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</si>
  <si>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</si>
  <si>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</si>
  <si>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</si>
  <si>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</si>
  <si>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</si>
  <si>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</si>
  <si>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</si>
  <si>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</si>
  <si>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</si>
  <si>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</si>
  <si>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</si>
  <si>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</si>
  <si>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</si>
  <si>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</si>
  <si>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</si>
  <si>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</si>
  <si>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</si>
  <si>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</si>
  <si>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</si>
  <si>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</si>
  <si>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</si>
  <si>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</si>
  <si>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</si>
  <si>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</si>
  <si>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</si>
  <si>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</si>
  <si>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</si>
  <si>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</si>
  <si>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</si>
  <si>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</si>
  <si>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</si>
  <si>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</si>
  <si>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</si>
  <si>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</si>
  <si>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</si>
  <si>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</si>
  <si>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</si>
  <si>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</si>
  <si>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</si>
  <si>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</si>
  <si>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</si>
  <si>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</si>
  <si>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</si>
  <si>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</si>
  <si>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</si>
  <si>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</si>
  <si>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</si>
  <si>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</si>
  <si>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</si>
  <si>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</si>
  <si>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</si>
  <si>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</si>
  <si>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</si>
  <si>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</si>
  <si>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</si>
  <si>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</si>
  <si>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</si>
  <si>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</si>
  <si>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</si>
  <si>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</si>
  <si>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</si>
  <si>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</si>
  <si>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</si>
  <si>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</si>
  <si>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</si>
  <si>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</si>
  <si>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</si>
  <si>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</si>
  <si>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</si>
  <si>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</si>
  <si>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</si>
  <si>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</si>
  <si>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</si>
  <si>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</si>
  <si>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</si>
  <si>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</si>
  <si>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</si>
  <si>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</si>
  <si>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</si>
  <si>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</si>
  <si>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</si>
  <si>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</si>
  <si>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</si>
  <si>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</si>
  <si>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</si>
  <si>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</si>
  <si>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</si>
  <si>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</si>
  <si>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</si>
  <si>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</si>
  <si>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</si>
  <si>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</si>
  <si>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</si>
  <si>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</si>
  <si>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</si>
  <si>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</si>
  <si>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</si>
  <si>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</si>
  <si>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</si>
  <si>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</si>
  <si>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</si>
  <si>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</si>
  <si>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</si>
  <si>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</si>
  <si>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</si>
  <si>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</si>
  <si>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</si>
  <si>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</si>
  <si>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</si>
  <si>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</si>
  <si>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</si>
  <si>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</si>
  <si>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</si>
  <si>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</si>
  <si>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</si>
  <si>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</si>
  <si>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</si>
  <si>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</si>
  <si>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</si>
  <si>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</si>
  <si>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</si>
  <si>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</si>
  <si>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</si>
  <si>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</si>
  <si>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</si>
  <si>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</si>
  <si>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</si>
  <si>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</si>
  <si>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</si>
  <si>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</si>
  <si>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</si>
  <si>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</si>
  <si>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</si>
  <si>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</si>
  <si>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</si>
  <si>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</si>
  <si>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</si>
  <si>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</si>
  <si>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</si>
  <si>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</si>
  <si>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</si>
  <si>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</si>
  <si>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</si>
  <si>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</si>
  <si>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</si>
  <si>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</si>
  <si>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</si>
  <si>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</si>
  <si>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</si>
  <si>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</si>
  <si>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</si>
  <si>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</si>
  <si>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</si>
  <si>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</si>
  <si>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</si>
  <si>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</si>
  <si>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</si>
  <si>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</si>
  <si>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</si>
  <si>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</si>
  <si>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</si>
  <si>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</si>
  <si>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</si>
  <si>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</si>
  <si>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</si>
  <si>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</si>
  <si>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</si>
  <si>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</si>
  <si>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</si>
  <si>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</si>
  <si>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</si>
  <si>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</si>
  <si>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</si>
  <si>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</si>
  <si>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</si>
  <si>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</si>
  <si>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</si>
  <si>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</si>
  <si>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</si>
  <si>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</si>
  <si>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</si>
  <si>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</si>
  <si>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</si>
  <si>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</si>
  <si>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</si>
  <si>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</si>
  <si>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</si>
  <si>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</si>
  <si>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</si>
  <si>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</si>
  <si>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</si>
  <si>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</si>
  <si>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</si>
  <si>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</si>
  <si>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</si>
  <si>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</si>
  <si>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</si>
  <si>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</si>
  <si>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</si>
  <si>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</si>
  <si>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</si>
  <si>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</si>
  <si>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</si>
  <si>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</si>
  <si>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</si>
  <si>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</si>
  <si>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</si>
  <si>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</si>
  <si>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</si>
  <si>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</si>
  <si>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</si>
  <si>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</si>
  <si>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</si>
  <si>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</si>
  <si>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</si>
  <si>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</si>
  <si>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</si>
  <si>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</si>
  <si>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</si>
  <si>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</si>
  <si>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</si>
  <si>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</si>
  <si>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</si>
  <si>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</si>
  <si>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</si>
  <si>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</si>
  <si>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</si>
  <si>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</si>
  <si>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</si>
  <si>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</si>
  <si>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</si>
  <si>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</si>
  <si>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</si>
  <si>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</si>
  <si>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</si>
  <si>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</si>
  <si>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</si>
  <si>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</si>
  <si>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</si>
  <si>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</si>
  <si>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</si>
  <si>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</si>
  <si>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</si>
  <si>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</si>
  <si>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</si>
  <si>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</si>
  <si>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</si>
  <si>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</si>
  <si>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</si>
  <si>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</si>
  <si>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</si>
  <si>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</si>
  <si>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</si>
  <si>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</si>
  <si>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</si>
  <si>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</si>
  <si>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</si>
  <si>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</si>
  <si>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</si>
  <si>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</si>
  <si>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</si>
  <si>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</si>
  <si>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</si>
  <si>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</si>
  <si>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</si>
  <si>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</si>
  <si>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</si>
  <si>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</si>
  <si>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</si>
  <si>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</si>
  <si>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</si>
  <si>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</si>
  <si>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</si>
  <si>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</si>
  <si>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</si>
  <si>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</si>
  <si>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</si>
  <si>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</si>
  <si>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</si>
  <si>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</si>
  <si>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</si>
  <si>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</si>
  <si>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</si>
  <si>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</si>
  <si>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</si>
  <si>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</si>
  <si>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</si>
  <si>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</si>
  <si>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</si>
  <si>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</si>
  <si>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</si>
  <si>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</si>
  <si>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</si>
  <si>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</si>
  <si>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</si>
  <si>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</si>
  <si>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</si>
  <si>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</si>
  <si>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</si>
  <si>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</si>
  <si>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</si>
  <si>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</si>
  <si>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</si>
  <si>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</si>
  <si>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</si>
  <si>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</si>
  <si>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</si>
  <si>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</si>
  <si>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</si>
  <si>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</si>
  <si>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</si>
  <si>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</si>
  <si>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</si>
  <si>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</si>
  <si>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</si>
  <si>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</si>
  <si>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</si>
  <si>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</si>
  <si>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</si>
  <si>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</si>
  <si>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</si>
  <si>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</si>
  <si>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</si>
  <si>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</si>
  <si>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</si>
  <si>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</si>
  <si>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</si>
  <si>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</si>
  <si>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</si>
  <si>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</si>
  <si>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</si>
  <si>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</si>
  <si>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</si>
  <si>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</si>
  <si>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</si>
  <si>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</si>
  <si>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</si>
  <si>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</si>
  <si>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</si>
  <si>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</si>
  <si>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</si>
  <si>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</si>
  <si>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</si>
  <si>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</si>
  <si>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</si>
  <si>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</si>
  <si>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</si>
  <si>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</si>
  <si>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</si>
  <si>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</si>
  <si>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</si>
  <si>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</si>
  <si>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</si>
  <si>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</si>
  <si>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</si>
  <si>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</si>
  <si>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</si>
  <si>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</si>
  <si>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</si>
  <si>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</si>
  <si>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</si>
  <si>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</si>
  <si>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</si>
  <si>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</si>
  <si>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</si>
  <si>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</si>
  <si>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</si>
  <si>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</si>
  <si>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</si>
  <si>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</si>
  <si>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</si>
  <si>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</si>
  <si>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</si>
  <si>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</si>
  <si>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</si>
  <si>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</si>
  <si>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</si>
  <si>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</si>
  <si>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</si>
  <si>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</si>
  <si>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</si>
  <si>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</si>
  <si>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</si>
  <si>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</si>
  <si>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</si>
  <si>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</si>
  <si>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</si>
  <si>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</si>
  <si>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</si>
  <si>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</si>
  <si>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</si>
  <si>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</si>
  <si>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</si>
  <si>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</si>
  <si>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</si>
  <si>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</si>
  <si>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</si>
  <si>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</si>
  <si>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</si>
  <si>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</si>
  <si>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</si>
  <si>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</si>
  <si>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</si>
  <si>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</si>
  <si>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</si>
  <si>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</si>
  <si>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</si>
  <si>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</si>
  <si>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</si>
  <si>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</si>
  <si>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</si>
  <si>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</si>
  <si>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</si>
  <si>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</si>
  <si>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</si>
  <si>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</si>
  <si>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</si>
  <si>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</si>
  <si>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</si>
  <si>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</si>
  <si>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</si>
  <si>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</si>
  <si>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</si>
  <si>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</si>
  <si>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</si>
  <si>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</si>
  <si>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</si>
  <si>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</si>
  <si>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</si>
  <si>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</si>
  <si>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</si>
  <si>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</si>
  <si>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</si>
  <si>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</si>
  <si>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</si>
  <si>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</si>
  <si>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</si>
  <si>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</si>
  <si>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</si>
  <si>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</si>
  <si>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</si>
  <si>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</si>
  <si>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</si>
  <si>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</si>
  <si>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</si>
  <si>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</si>
  <si>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</si>
  <si>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</si>
  <si>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</si>
  <si>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</si>
  <si>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</si>
  <si>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</si>
  <si>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</si>
  <si>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</si>
  <si>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</si>
  <si>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</si>
  <si>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</si>
  <si>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</si>
  <si>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</si>
  <si>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</si>
  <si>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</si>
  <si>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</si>
  <si>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</si>
  <si>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</si>
  <si>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</si>
  <si>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</si>
  <si>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</si>
  <si>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</si>
  <si>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</si>
  <si>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</si>
  <si>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</si>
  <si>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</si>
  <si>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</si>
  <si>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</si>
  <si>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</si>
  <si>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</si>
  <si>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</si>
  <si>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</si>
  <si>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</si>
  <si>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</si>
  <si>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</si>
  <si>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</si>
  <si>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</si>
  <si>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</si>
  <si>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</si>
  <si>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</si>
  <si>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</si>
  <si>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</si>
  <si>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</si>
  <si>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</si>
  <si>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</si>
  <si>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</si>
  <si>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</si>
  <si>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</si>
  <si>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</si>
  <si>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</si>
  <si>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</si>
  <si>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</si>
  <si>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</si>
  <si>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</si>
  <si>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</si>
  <si>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</si>
  <si>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</si>
  <si>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</si>
  <si>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</si>
  <si>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</si>
  <si>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13029</t>
  </si>
  <si>
    <t>OLEN</t>
  </si>
  <si>
    <t>Eandis (januari 2018); Infrax (juni 2018)</t>
  </si>
  <si>
    <t>MOW (september 2017)</t>
  </si>
  <si>
    <t>referentietaak LNE (2017); Jaarverslag De Lijn (2016)</t>
  </si>
  <si>
    <t>VEA (april 2018)</t>
  </si>
  <si>
    <t>VEA (januari 2017)</t>
  </si>
  <si>
    <t>VEA (juni 2018)</t>
  </si>
  <si>
    <t>Reneco bvba - Serilge bvba</t>
  </si>
  <si>
    <t>Schrans 4, 2250 Olen</t>
  </si>
  <si>
    <t>WKK-0116 Reneco Serilge</t>
  </si>
  <si>
    <t>interne verbrandingsmotor</t>
  </si>
  <si>
    <t>WKK interne verbrandinsgmotor (gas)</t>
  </si>
  <si>
    <t>IVEKA</t>
  </si>
  <si>
    <t>Iveka</t>
  </si>
  <si>
    <t>Brusselsesteenweg 199 A, 9090 Melle</t>
  </si>
  <si>
    <t>BGS-0020 IOK Olen</t>
  </si>
  <si>
    <t>biogas - stortgas</t>
  </si>
  <si>
    <t>niet WKK interne verbrandingsmotor (gas)</t>
  </si>
  <si>
    <t>Rendelaar - , 2250 Olen</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</si>
</sst>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110373.71831488093</c:v>
                </c:pt>
                <c:pt idx="1">
                  <c:v>75874.500200966591</c:v>
                </c:pt>
                <c:pt idx="2">
                  <c:v>599.25599999999997</c:v>
                </c:pt>
                <c:pt idx="3">
                  <c:v>18090.025954830871</c:v>
                </c:pt>
                <c:pt idx="4">
                  <c:v>187679.07411783005</c:v>
                </c:pt>
                <c:pt idx="5">
                  <c:v>144391.84360113836</c:v>
                </c:pt>
                <c:pt idx="6">
                  <c:v>657.47341247963209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110373.71831488093</c:v>
                </c:pt>
                <c:pt idx="1">
                  <c:v>75874.500200966591</c:v>
                </c:pt>
                <c:pt idx="2">
                  <c:v>599.25599999999997</c:v>
                </c:pt>
                <c:pt idx="3">
                  <c:v>18090.025954830871</c:v>
                </c:pt>
                <c:pt idx="4">
                  <c:v>187679.07411783005</c:v>
                </c:pt>
                <c:pt idx="5">
                  <c:v>144391.84360113836</c:v>
                </c:pt>
                <c:pt idx="6">
                  <c:v>657.47341247963209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16891.537345488017</c:v>
                </c:pt>
                <c:pt idx="1">
                  <c:v>13897.325162752448</c:v>
                </c:pt>
                <c:pt idx="2">
                  <c:v>73.662097374437593</c:v>
                </c:pt>
                <c:pt idx="3">
                  <c:v>4071.7890167594328</c:v>
                </c:pt>
                <c:pt idx="4">
                  <c:v>30303.510557018071</c:v>
                </c:pt>
                <c:pt idx="5">
                  <c:v>36159.314005197106</c:v>
                </c:pt>
                <c:pt idx="6">
                  <c:v>166.11102804871635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49888"/>
        <c:axId val="184151424"/>
      </c:barChart>
      <c:catAx>
        <c:axId val="184149888"/>
        <c:scaling>
          <c:orientation val="minMax"/>
        </c:scaling>
        <c:axPos val="b"/>
        <c:numFmt formatCode="General" sourceLinked="0"/>
        <c:tickLblPos val="nextTo"/>
        <c:crossAx val="184151424"/>
        <c:crosses val="autoZero"/>
        <c:auto val="1"/>
        <c:lblAlgn val="ctr"/>
        <c:lblOffset val="100"/>
      </c:catAx>
      <c:valAx>
        <c:axId val="184151424"/>
        <c:scaling>
          <c:orientation val="minMax"/>
        </c:scaling>
        <c:axPos val="l"/>
        <c:majorGridlines>
          <c:spPr>
            <a:ln>
              <a:noFill/>
            </a:ln>
          </c:spPr>
        </c:majorGridlines>
        <c:numFmt formatCode="#,##0" sourceLinked="1"/>
        <c:tickLblPos val="nextTo"/>
        <c:crossAx val="1841498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16891.537345488017</c:v>
                </c:pt>
                <c:pt idx="1">
                  <c:v>13897.325162752448</c:v>
                </c:pt>
                <c:pt idx="2">
                  <c:v>73.662097374437593</c:v>
                </c:pt>
                <c:pt idx="3">
                  <c:v>4071.7890167594328</c:v>
                </c:pt>
                <c:pt idx="4">
                  <c:v>30303.510557018071</c:v>
                </c:pt>
                <c:pt idx="5">
                  <c:v>36159.314005197106</c:v>
                </c:pt>
                <c:pt idx="6">
                  <c:v>166.11102804871635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13029</v>
      </c>
      <c r="B6" s="415"/>
      <c r="C6" s="416"/>
    </row>
    <row r="7" spans="1:7" s="413" customFormat="1" ht="15.75" customHeight="1">
      <c r="A7" s="417" t="str">
        <f>txtMunicipality</f>
        <v>OLEN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5117</v>
      </c>
      <c r="C9" s="342">
        <v>5278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649.29999999999995</v>
      </c>
    </row>
    <row r="15" spans="1:6">
      <c r="A15" s="348" t="s">
        <v>184</v>
      </c>
      <c r="B15" s="334">
        <v>376</v>
      </c>
    </row>
    <row r="16" spans="1:6">
      <c r="A16" s="348" t="s">
        <v>6</v>
      </c>
      <c r="B16" s="334">
        <v>679</v>
      </c>
    </row>
    <row r="17" spans="1:6">
      <c r="A17" s="348" t="s">
        <v>7</v>
      </c>
      <c r="B17" s="334">
        <v>41</v>
      </c>
    </row>
    <row r="18" spans="1:6">
      <c r="A18" s="348" t="s">
        <v>8</v>
      </c>
      <c r="B18" s="334">
        <v>355</v>
      </c>
    </row>
    <row r="19" spans="1:6">
      <c r="A19" s="348" t="s">
        <v>9</v>
      </c>
      <c r="B19" s="334">
        <v>267</v>
      </c>
    </row>
    <row r="20" spans="1:6">
      <c r="A20" s="348" t="s">
        <v>10</v>
      </c>
      <c r="B20" s="334">
        <v>149</v>
      </c>
    </row>
    <row r="21" spans="1:6">
      <c r="A21" s="348" t="s">
        <v>11</v>
      </c>
      <c r="B21" s="334">
        <v>407</v>
      </c>
    </row>
    <row r="22" spans="1:6">
      <c r="A22" s="348" t="s">
        <v>12</v>
      </c>
      <c r="B22" s="334">
        <v>992</v>
      </c>
    </row>
    <row r="23" spans="1:6">
      <c r="A23" s="348" t="s">
        <v>13</v>
      </c>
      <c r="B23" s="334">
        <v>57</v>
      </c>
    </row>
    <row r="24" spans="1:6">
      <c r="A24" s="348" t="s">
        <v>14</v>
      </c>
      <c r="B24" s="334">
        <v>2</v>
      </c>
    </row>
    <row r="25" spans="1:6">
      <c r="A25" s="348" t="s">
        <v>15</v>
      </c>
      <c r="B25" s="334">
        <v>154</v>
      </c>
    </row>
    <row r="26" spans="1:6">
      <c r="A26" s="348" t="s">
        <v>16</v>
      </c>
      <c r="B26" s="334">
        <v>0</v>
      </c>
    </row>
    <row r="27" spans="1:6">
      <c r="A27" s="348" t="s">
        <v>17</v>
      </c>
      <c r="B27" s="334">
        <v>0</v>
      </c>
    </row>
    <row r="28" spans="1:6" s="356" customFormat="1">
      <c r="A28" s="355" t="s">
        <v>18</v>
      </c>
      <c r="B28" s="355">
        <v>0</v>
      </c>
    </row>
    <row r="29" spans="1:6">
      <c r="A29" s="355" t="s">
        <v>744</v>
      </c>
      <c r="B29" s="355">
        <v>49</v>
      </c>
      <c r="C29" s="356"/>
      <c r="D29" s="356"/>
      <c r="E29" s="356"/>
      <c r="F29" s="356"/>
    </row>
    <row r="30" spans="1:6">
      <c r="A30" s="341" t="s">
        <v>745</v>
      </c>
      <c r="B30" s="341">
        <v>13</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31397.859144415201</v>
      </c>
      <c r="E38" s="334">
        <v>4</v>
      </c>
      <c r="F38" s="334">
        <v>26261.3062067871</v>
      </c>
    </row>
    <row r="39" spans="1:6">
      <c r="A39" s="348" t="s">
        <v>30</v>
      </c>
      <c r="B39" s="348" t="s">
        <v>31</v>
      </c>
      <c r="C39" s="334">
        <v>3533</v>
      </c>
      <c r="D39" s="334">
        <v>58594700.2826996</v>
      </c>
      <c r="E39" s="334">
        <v>4978</v>
      </c>
      <c r="F39" s="334">
        <v>16552736.205699399</v>
      </c>
    </row>
    <row r="40" spans="1:6">
      <c r="A40" s="348" t="s">
        <v>30</v>
      </c>
      <c r="B40" s="348" t="s">
        <v>29</v>
      </c>
      <c r="C40" s="334">
        <v>0</v>
      </c>
      <c r="D40" s="334">
        <v>0</v>
      </c>
      <c r="E40" s="334">
        <v>0</v>
      </c>
      <c r="F40" s="334">
        <v>0</v>
      </c>
    </row>
    <row r="41" spans="1:6">
      <c r="A41" s="348" t="s">
        <v>32</v>
      </c>
      <c r="B41" s="348" t="s">
        <v>33</v>
      </c>
      <c r="C41" s="334">
        <v>46</v>
      </c>
      <c r="D41" s="334">
        <v>1746725.97170166</v>
      </c>
      <c r="E41" s="334">
        <v>95</v>
      </c>
      <c r="F41" s="334">
        <v>2018228.7056291699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137607.40824367601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46</v>
      </c>
      <c r="D48" s="334">
        <v>53997510.466479197</v>
      </c>
      <c r="E48" s="334">
        <v>57</v>
      </c>
      <c r="F48" s="334">
        <v>50662219.673720501</v>
      </c>
    </row>
    <row r="49" spans="1:6">
      <c r="A49" s="348" t="s">
        <v>32</v>
      </c>
      <c r="B49" s="348" t="s">
        <v>40</v>
      </c>
      <c r="C49" s="334">
        <v>0</v>
      </c>
      <c r="D49" s="334">
        <v>0</v>
      </c>
      <c r="E49" s="334">
        <v>3</v>
      </c>
      <c r="F49" s="334">
        <v>12871.5920304338</v>
      </c>
    </row>
    <row r="50" spans="1:6">
      <c r="A50" s="348" t="s">
        <v>32</v>
      </c>
      <c r="B50" s="348" t="s">
        <v>41</v>
      </c>
      <c r="C50" s="334">
        <v>13</v>
      </c>
      <c r="D50" s="334">
        <v>37035460.1007552</v>
      </c>
      <c r="E50" s="334">
        <v>19</v>
      </c>
      <c r="F50" s="334">
        <v>21050667.324746501</v>
      </c>
    </row>
    <row r="51" spans="1:6">
      <c r="A51" s="348" t="s">
        <v>42</v>
      </c>
      <c r="B51" s="348" t="s">
        <v>43</v>
      </c>
      <c r="C51" s="334">
        <v>7</v>
      </c>
      <c r="D51" s="334">
        <v>112153.947350713</v>
      </c>
      <c r="E51" s="334">
        <v>16</v>
      </c>
      <c r="F51" s="334">
        <v>279644.50846328301</v>
      </c>
    </row>
    <row r="52" spans="1:6">
      <c r="A52" s="348" t="s">
        <v>42</v>
      </c>
      <c r="B52" s="348" t="s">
        <v>29</v>
      </c>
      <c r="C52" s="334">
        <v>2</v>
      </c>
      <c r="D52" s="334">
        <v>25736716.594057199</v>
      </c>
      <c r="E52" s="334">
        <v>6</v>
      </c>
      <c r="F52" s="334">
        <v>171618.157797922</v>
      </c>
    </row>
    <row r="53" spans="1:6">
      <c r="A53" s="348" t="s">
        <v>44</v>
      </c>
      <c r="B53" s="348" t="s">
        <v>45</v>
      </c>
      <c r="C53" s="334">
        <v>65</v>
      </c>
      <c r="D53" s="334">
        <v>1512753.79167281</v>
      </c>
      <c r="E53" s="334">
        <v>142</v>
      </c>
      <c r="F53" s="334">
        <v>552626.41903072095</v>
      </c>
    </row>
    <row r="54" spans="1:6">
      <c r="A54" s="348" t="s">
        <v>46</v>
      </c>
      <c r="B54" s="348" t="s">
        <v>47</v>
      </c>
      <c r="C54" s="334">
        <v>0</v>
      </c>
      <c r="D54" s="334">
        <v>0</v>
      </c>
      <c r="E54" s="334">
        <v>1</v>
      </c>
      <c r="F54" s="334">
        <v>599256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1638810.46955808</v>
      </c>
      <c r="E57" s="334">
        <v>89</v>
      </c>
      <c r="F57" s="334">
        <v>1234956.49112686</v>
      </c>
    </row>
    <row r="58" spans="1:6">
      <c r="A58" s="348" t="s">
        <v>49</v>
      </c>
      <c r="B58" s="348" t="s">
        <v>51</v>
      </c>
      <c r="C58" s="334">
        <v>16</v>
      </c>
      <c r="D58" s="334">
        <v>454683.13432987401</v>
      </c>
      <c r="E58" s="334">
        <v>39</v>
      </c>
      <c r="F58" s="334">
        <v>562421.967828308</v>
      </c>
    </row>
    <row r="59" spans="1:6">
      <c r="A59" s="348" t="s">
        <v>49</v>
      </c>
      <c r="B59" s="348" t="s">
        <v>52</v>
      </c>
      <c r="C59" s="334">
        <v>42</v>
      </c>
      <c r="D59" s="334">
        <v>4079724.2490003598</v>
      </c>
      <c r="E59" s="334">
        <v>119</v>
      </c>
      <c r="F59" s="334">
        <v>4594045.3265394103</v>
      </c>
    </row>
    <row r="60" spans="1:6">
      <c r="A60" s="348" t="s">
        <v>49</v>
      </c>
      <c r="B60" s="348" t="s">
        <v>53</v>
      </c>
      <c r="C60" s="334">
        <v>44</v>
      </c>
      <c r="D60" s="334">
        <v>2249780.4032719899</v>
      </c>
      <c r="E60" s="334">
        <v>60</v>
      </c>
      <c r="F60" s="334">
        <v>2248541.9528682898</v>
      </c>
    </row>
    <row r="61" spans="1:6">
      <c r="A61" s="348" t="s">
        <v>49</v>
      </c>
      <c r="B61" s="348" t="s">
        <v>54</v>
      </c>
      <c r="C61" s="334">
        <v>71</v>
      </c>
      <c r="D61" s="334">
        <v>4284216.8234298704</v>
      </c>
      <c r="E61" s="334">
        <v>142</v>
      </c>
      <c r="F61" s="334">
        <v>6051817.8938715002</v>
      </c>
    </row>
    <row r="62" spans="1:6">
      <c r="A62" s="348" t="s">
        <v>49</v>
      </c>
      <c r="B62" s="348" t="s">
        <v>55</v>
      </c>
      <c r="C62" s="334">
        <v>0</v>
      </c>
      <c r="D62" s="334">
        <v>0</v>
      </c>
      <c r="E62" s="334">
        <v>3</v>
      </c>
      <c r="F62" s="334">
        <v>53502.812198942403</v>
      </c>
    </row>
    <row r="63" spans="1:6">
      <c r="A63" s="348" t="s">
        <v>49</v>
      </c>
      <c r="B63" s="348" t="s">
        <v>29</v>
      </c>
      <c r="C63" s="334">
        <v>95</v>
      </c>
      <c r="D63" s="334">
        <v>44257836.779826</v>
      </c>
      <c r="E63" s="334">
        <v>101</v>
      </c>
      <c r="F63" s="334">
        <v>5040061.0060936501</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12</v>
      </c>
      <c r="F66" s="334">
        <v>117802.890151375</v>
      </c>
    </row>
    <row r="67" spans="1:6">
      <c r="A67" s="355" t="s">
        <v>56</v>
      </c>
      <c r="B67" s="355" t="s">
        <v>59</v>
      </c>
      <c r="C67" s="334">
        <v>0</v>
      </c>
      <c r="D67" s="334">
        <v>0</v>
      </c>
      <c r="E67" s="334">
        <v>4</v>
      </c>
      <c r="F67" s="334">
        <v>15588.366059673701</v>
      </c>
    </row>
    <row r="68" spans="1:6">
      <c r="A68" s="341" t="s">
        <v>56</v>
      </c>
      <c r="B68" s="341" t="s">
        <v>60</v>
      </c>
      <c r="C68" s="334">
        <v>8</v>
      </c>
      <c r="D68" s="334">
        <v>300681.77974262898</v>
      </c>
      <c r="E68" s="334">
        <v>11</v>
      </c>
      <c r="F68" s="334">
        <v>181176.95334110101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76990709</v>
      </c>
      <c r="E73" s="476">
        <v>78206683.213885143</v>
      </c>
    </row>
    <row r="74" spans="1:6">
      <c r="A74" s="348" t="s">
        <v>64</v>
      </c>
      <c r="B74" s="348" t="s">
        <v>657</v>
      </c>
      <c r="C74" s="1272" t="s">
        <v>659</v>
      </c>
      <c r="D74" s="476">
        <v>6031214.1111715157</v>
      </c>
      <c r="E74" s="476">
        <v>6185316.5141533529</v>
      </c>
    </row>
    <row r="75" spans="1:6">
      <c r="A75" s="348" t="s">
        <v>65</v>
      </c>
      <c r="B75" s="348" t="s">
        <v>656</v>
      </c>
      <c r="C75" s="1272" t="s">
        <v>660</v>
      </c>
      <c r="D75" s="476">
        <v>7741203</v>
      </c>
      <c r="E75" s="476">
        <v>7863466.8489622651</v>
      </c>
    </row>
    <row r="76" spans="1:6">
      <c r="A76" s="348" t="s">
        <v>65</v>
      </c>
      <c r="B76" s="348" t="s">
        <v>657</v>
      </c>
      <c r="C76" s="1272" t="s">
        <v>661</v>
      </c>
      <c r="D76" s="476">
        <v>484224.11117151554</v>
      </c>
      <c r="E76" s="476">
        <v>498588.05975831591</v>
      </c>
    </row>
    <row r="77" spans="1:6">
      <c r="A77" s="348" t="s">
        <v>66</v>
      </c>
      <c r="B77" s="348" t="s">
        <v>656</v>
      </c>
      <c r="C77" s="1272" t="s">
        <v>662</v>
      </c>
      <c r="D77" s="476">
        <v>69837401</v>
      </c>
      <c r="E77" s="476">
        <v>71747402.377143919</v>
      </c>
    </row>
    <row r="78" spans="1:6">
      <c r="A78" s="341" t="s">
        <v>66</v>
      </c>
      <c r="B78" s="341" t="s">
        <v>657</v>
      </c>
      <c r="C78" s="341" t="s">
        <v>663</v>
      </c>
      <c r="D78" s="1273">
        <v>10456207</v>
      </c>
      <c r="E78" s="1273">
        <v>11097948.033290958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178317.77765696892</v>
      </c>
      <c r="C83" s="476">
        <v>179102.5965422937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2374.7337055290104</v>
      </c>
    </row>
    <row r="90" spans="1:6">
      <c r="A90" s="348" t="s">
        <v>549</v>
      </c>
      <c r="B90" s="1274">
        <v>39614.131571063946</v>
      </c>
    </row>
    <row r="91" spans="1:6">
      <c r="A91" s="348" t="s">
        <v>68</v>
      </c>
      <c r="B91" s="334">
        <v>3236.3183576916595</v>
      </c>
    </row>
    <row r="92" spans="1:6">
      <c r="A92" s="341" t="s">
        <v>69</v>
      </c>
      <c r="B92" s="342">
        <v>5517.4334424267854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1860</v>
      </c>
    </row>
    <row r="98" spans="1:6">
      <c r="A98" s="348" t="s">
        <v>72</v>
      </c>
      <c r="B98" s="334">
        <v>2</v>
      </c>
    </row>
    <row r="99" spans="1:6">
      <c r="A99" s="348" t="s">
        <v>73</v>
      </c>
      <c r="B99" s="334">
        <v>106</v>
      </c>
    </row>
    <row r="100" spans="1:6">
      <c r="A100" s="348" t="s">
        <v>74</v>
      </c>
      <c r="B100" s="334">
        <v>136</v>
      </c>
    </row>
    <row r="101" spans="1:6">
      <c r="A101" s="348" t="s">
        <v>75</v>
      </c>
      <c r="B101" s="334">
        <v>70</v>
      </c>
    </row>
    <row r="102" spans="1:6">
      <c r="A102" s="348" t="s">
        <v>76</v>
      </c>
      <c r="B102" s="334">
        <v>52</v>
      </c>
    </row>
    <row r="103" spans="1:6">
      <c r="A103" s="348" t="s">
        <v>77</v>
      </c>
      <c r="B103" s="334">
        <v>136</v>
      </c>
    </row>
    <row r="104" spans="1:6">
      <c r="A104" s="348" t="s">
        <v>78</v>
      </c>
      <c r="B104" s="334">
        <v>1749</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43</v>
      </c>
      <c r="C123" s="334">
        <v>30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172</v>
      </c>
    </row>
    <row r="130" spans="1:6">
      <c r="A130" s="348" t="s">
        <v>295</v>
      </c>
      <c r="B130" s="334">
        <v>2</v>
      </c>
    </row>
    <row r="131" spans="1:6">
      <c r="A131" s="348" t="s">
        <v>296</v>
      </c>
      <c r="B131" s="334">
        <v>2</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115602.32346444461</v>
      </c>
      <c r="C3" s="43" t="s">
        <v>170</v>
      </c>
      <c r="D3" s="43"/>
      <c r="E3" s="154"/>
      <c r="F3" s="43"/>
      <c r="G3" s="43"/>
      <c r="H3" s="43"/>
      <c r="I3" s="43"/>
      <c r="J3" s="43"/>
      <c r="K3" s="96"/>
    </row>
    <row r="4" spans="1:11">
      <c r="A4" s="383" t="s">
        <v>171</v>
      </c>
      <c r="B4" s="49">
        <f>IF(ISERROR('SEAP template'!B69),0,'SEAP template'!B69)</f>
        <v>58077.617076711402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1497.1764705882354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0.12292258629773853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2138.8235294117649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9000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599.25599999999997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599.25599999999997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0.12292258629773853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73.662097374437593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16552.736205699399</v>
      </c>
      <c r="C5" s="17">
        <f>IF(ISERROR('Eigen informatie GS &amp; warmtenet'!B57),0,'Eigen informatie GS &amp; warmtenet'!B57)</f>
        <v>0</v>
      </c>
      <c r="D5" s="30">
        <f>(SUM(HH_hh_gas_kWh,HH_rest_gas_kWh)/1000)*0.902</f>
        <v>52852.419654995043</v>
      </c>
      <c r="E5" s="17">
        <f>B46*B57</f>
        <v>9255.9261256087502</v>
      </c>
      <c r="F5" s="17">
        <f>B51*B62</f>
        <v>6298.6201398754265</v>
      </c>
      <c r="G5" s="18"/>
      <c r="H5" s="17"/>
      <c r="I5" s="17"/>
      <c r="J5" s="17">
        <f>B50*B61+C50*C61</f>
        <v>0</v>
      </c>
      <c r="K5" s="17"/>
      <c r="L5" s="17"/>
      <c r="M5" s="17"/>
      <c r="N5" s="17">
        <f>B48*B59+C48*C59</f>
        <v>20830.74116434397</v>
      </c>
      <c r="O5" s="17">
        <f>B69*B70*B71</f>
        <v>317.35666666666668</v>
      </c>
      <c r="P5" s="17">
        <f>B77*B78*B79/1000-B77*B78*B79/1000/B80</f>
        <v>1029.5999999999999</v>
      </c>
    </row>
    <row r="6" spans="1:16">
      <c r="A6" s="16" t="s">
        <v>621</v>
      </c>
      <c r="B6" s="843">
        <f>kWh_PV_kleiner_dan_10kW</f>
        <v>3236.3183576916595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19789.054563391059</v>
      </c>
      <c r="C8" s="21">
        <f>C5</f>
        <v>0</v>
      </c>
      <c r="D8" s="21">
        <f>D5</f>
        <v>52852.419654995043</v>
      </c>
      <c r="E8" s="21">
        <f>E5</f>
        <v>9255.9261256087502</v>
      </c>
      <c r="F8" s="21">
        <f>F5</f>
        <v>6298.6201398754265</v>
      </c>
      <c r="G8" s="21"/>
      <c r="H8" s="21"/>
      <c r="I8" s="21"/>
      <c r="J8" s="21">
        <f>J5</f>
        <v>0</v>
      </c>
      <c r="K8" s="21"/>
      <c r="L8" s="21">
        <f>L5</f>
        <v>0</v>
      </c>
      <c r="M8" s="21">
        <f>M5</f>
        <v>0</v>
      </c>
      <c r="N8" s="21">
        <f>N5</f>
        <v>20830.74116434397</v>
      </c>
      <c r="O8" s="21">
        <f>O5</f>
        <v>317.35666666666668</v>
      </c>
      <c r="P8" s="21">
        <f>P5</f>
        <v>1029.5999999999999</v>
      </c>
    </row>
    <row r="9" spans="1:16">
      <c r="B9" s="19"/>
      <c r="C9" s="19"/>
      <c r="D9" s="258"/>
      <c r="E9" s="19"/>
      <c r="F9" s="19"/>
      <c r="G9" s="19"/>
      <c r="H9" s="19"/>
      <c r="I9" s="19"/>
      <c r="J9" s="19"/>
      <c r="K9" s="19"/>
      <c r="L9" s="19"/>
      <c r="M9" s="19"/>
      <c r="N9" s="19"/>
      <c r="O9" s="19"/>
      <c r="P9" s="19"/>
    </row>
    <row r="10" spans="1:16">
      <c r="A10" s="24" t="s">
        <v>214</v>
      </c>
      <c r="B10" s="25">
        <f ca="1">'EF ele_warmte'!B12</f>
        <v>0.12292258629773853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2432.5217673190937</v>
      </c>
      <c r="C12" s="23">
        <f ca="1">C10*C8</f>
        <v>0</v>
      </c>
      <c r="D12" s="23">
        <f>D8*D10</f>
        <v>10676.188770309</v>
      </c>
      <c r="E12" s="23">
        <f>E10*E8</f>
        <v>2101.0952305131864</v>
      </c>
      <c r="F12" s="23">
        <f>F10*F8</f>
        <v>1681.731577346739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1860</v>
      </c>
      <c r="C18" s="166" t="s">
        <v>111</v>
      </c>
      <c r="D18" s="228"/>
      <c r="E18" s="15"/>
    </row>
    <row r="19" spans="1:7">
      <c r="A19" s="171" t="s">
        <v>72</v>
      </c>
      <c r="B19" s="37">
        <f>aantalw2001_ander</f>
        <v>2</v>
      </c>
      <c r="C19" s="166" t="s">
        <v>111</v>
      </c>
      <c r="D19" s="229"/>
      <c r="E19" s="15"/>
    </row>
    <row r="20" spans="1:7">
      <c r="A20" s="171" t="s">
        <v>73</v>
      </c>
      <c r="B20" s="37">
        <f>aantalw2001_propaan</f>
        <v>106</v>
      </c>
      <c r="C20" s="167">
        <f>IF(ISERROR(B20/SUM($B$20,$B$21,$B$22)*100),0,B20/SUM($B$20,$B$21,$B$22)*100)</f>
        <v>33.974358974358978</v>
      </c>
      <c r="D20" s="229"/>
      <c r="E20" s="15"/>
    </row>
    <row r="21" spans="1:7">
      <c r="A21" s="171" t="s">
        <v>74</v>
      </c>
      <c r="B21" s="37">
        <f>aantalw2001_elektriciteit</f>
        <v>136</v>
      </c>
      <c r="C21" s="167">
        <f>IF(ISERROR(B21/SUM($B$20,$B$21,$B$22)*100),0,B21/SUM($B$20,$B$21,$B$22)*100)</f>
        <v>43.589743589743591</v>
      </c>
      <c r="D21" s="229"/>
      <c r="E21" s="15"/>
    </row>
    <row r="22" spans="1:7">
      <c r="A22" s="171" t="s">
        <v>75</v>
      </c>
      <c r="B22" s="37">
        <f>aantalw2001_hout</f>
        <v>70</v>
      </c>
      <c r="C22" s="167">
        <f>IF(ISERROR(B22/SUM($B$20,$B$21,$B$22)*100),0,B22/SUM($B$20,$B$21,$B$22)*100)</f>
        <v>22.435897435897438</v>
      </c>
      <c r="D22" s="229"/>
      <c r="E22" s="15"/>
    </row>
    <row r="23" spans="1:7">
      <c r="A23" s="171" t="s">
        <v>76</v>
      </c>
      <c r="B23" s="37">
        <f>aantalw2001_niet_gespec</f>
        <v>52</v>
      </c>
      <c r="C23" s="166" t="s">
        <v>111</v>
      </c>
      <c r="D23" s="228"/>
      <c r="E23" s="15"/>
    </row>
    <row r="24" spans="1:7">
      <c r="A24" s="171" t="s">
        <v>77</v>
      </c>
      <c r="B24" s="37">
        <f>aantalw2001_steenkool</f>
        <v>136</v>
      </c>
      <c r="C24" s="166" t="s">
        <v>111</v>
      </c>
      <c r="D24" s="229"/>
      <c r="E24" s="15"/>
    </row>
    <row r="25" spans="1:7">
      <c r="A25" s="171" t="s">
        <v>78</v>
      </c>
      <c r="B25" s="37">
        <f>aantalw2001_stookolie</f>
        <v>1749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5117</v>
      </c>
      <c r="C28" s="36"/>
      <c r="D28" s="228"/>
    </row>
    <row r="29" spans="1:7" s="15" customFormat="1">
      <c r="A29" s="230" t="s">
        <v>795</v>
      </c>
      <c r="B29" s="37">
        <f>SUM(HH_hh_gas_aantal,HH_rest_gas_aantal)</f>
        <v>3533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3533</v>
      </c>
      <c r="C32" s="167">
        <f>IF(ISERROR(B32/SUM($B$32,$B$34,$B$35,$B$36,$B$38,$B$39)*100),0,B32/SUM($B$32,$B$34,$B$35,$B$36,$B$38,$B$39)*100)</f>
        <v>69.780762393837648</v>
      </c>
      <c r="D32" s="233"/>
      <c r="G32" s="15"/>
    </row>
    <row r="33" spans="1:7">
      <c r="A33" s="171" t="s">
        <v>72</v>
      </c>
      <c r="B33" s="34" t="s">
        <v>111</v>
      </c>
      <c r="C33" s="167"/>
      <c r="D33" s="233"/>
      <c r="G33" s="15"/>
    </row>
    <row r="34" spans="1:7">
      <c r="A34" s="171" t="s">
        <v>73</v>
      </c>
      <c r="B34" s="33">
        <f>IF((($B$28-$B$32-$B$39-$B$77-$B$38)*C20/100)&lt;0,0,($B$28-$B$32-$B$39-$B$77-$B$38)*C20/100)</f>
        <v>437.14807692307693</v>
      </c>
      <c r="C34" s="167">
        <f>IF(ISERROR(B34/SUM($B$32,$B$34,$B$35,$B$36,$B$38,$B$39)*100),0,B34/SUM($B$32,$B$34,$B$35,$B$36,$B$38,$B$39)*100)</f>
        <v>8.6341709840623526</v>
      </c>
      <c r="D34" s="233"/>
      <c r="G34" s="15"/>
    </row>
    <row r="35" spans="1:7">
      <c r="A35" s="171" t="s">
        <v>74</v>
      </c>
      <c r="B35" s="33">
        <f>IF((($B$28-$B$32-$B$39-$B$77-$B$38)*C21/100)&lt;0,0,($B$28-$B$32-$B$39-$B$77-$B$38)*C21/100)</f>
        <v>560.86923076923074</v>
      </c>
      <c r="C35" s="167">
        <f>IF(ISERROR(B35/SUM($B$32,$B$34,$B$35,$B$36,$B$38,$B$39)*100),0,B35/SUM($B$32,$B$34,$B$35,$B$36,$B$38,$B$39)*100)</f>
        <v>11.077804281438491</v>
      </c>
      <c r="D35" s="233"/>
      <c r="G35" s="15"/>
    </row>
    <row r="36" spans="1:7">
      <c r="A36" s="171" t="s">
        <v>75</v>
      </c>
      <c r="B36" s="33">
        <f>IF((($B$28-$B$32-$B$39-$B$77-$B$38)*C22/100)&lt;0,0,($B$28-$B$32-$B$39-$B$77-$B$38)*C22/100)</f>
        <v>288.68269230769232</v>
      </c>
      <c r="C36" s="167">
        <f>IF(ISERROR(B36/SUM($B$32,$B$34,$B$35,$B$36,$B$38,$B$39)*100),0,B36/SUM($B$32,$B$34,$B$35,$B$36,$B$38,$B$39)*100)</f>
        <v>5.7018110272109883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243.29999999999995</v>
      </c>
      <c r="C39" s="167">
        <f>IF(ISERROR(B39/SUM($B$32,$B$34,$B$35,$B$36,$B$38,$B$39)*100),0,B39/SUM($B$32,$B$34,$B$35,$B$36,$B$38,$B$39)*100)</f>
        <v>4.805451313450523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3533</v>
      </c>
      <c r="C44" s="34" t="s">
        <v>111</v>
      </c>
      <c r="D44" s="174"/>
    </row>
    <row r="45" spans="1:7">
      <c r="A45" s="171" t="s">
        <v>72</v>
      </c>
      <c r="B45" s="33" t="str">
        <f t="shared" si="0"/>
        <v>-</v>
      </c>
      <c r="C45" s="34" t="s">
        <v>111</v>
      </c>
      <c r="D45" s="174"/>
    </row>
    <row r="46" spans="1:7">
      <c r="A46" s="171" t="s">
        <v>73</v>
      </c>
      <c r="B46" s="33">
        <f t="shared" si="0"/>
        <v>437.14807692307693</v>
      </c>
      <c r="C46" s="34" t="s">
        <v>111</v>
      </c>
      <c r="D46" s="174"/>
    </row>
    <row r="47" spans="1:7">
      <c r="A47" s="171" t="s">
        <v>74</v>
      </c>
      <c r="B47" s="33">
        <f t="shared" si="0"/>
        <v>560.86923076923074</v>
      </c>
      <c r="C47" s="34" t="s">
        <v>111</v>
      </c>
      <c r="D47" s="174"/>
    </row>
    <row r="48" spans="1:7">
      <c r="A48" s="171" t="s">
        <v>75</v>
      </c>
      <c r="B48" s="33">
        <f t="shared" si="0"/>
        <v>288.68269230769232</v>
      </c>
      <c r="C48" s="33">
        <f>B48*10</f>
        <v>2886.8269230769233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243.29999999999995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19785.347450526962</v>
      </c>
      <c r="C5" s="17">
        <f>IF(ISERROR('Eigen informatie GS &amp; warmtenet'!B58),0,'Eigen informatie GS &amp; warmtenet'!B58)</f>
        <v>0</v>
      </c>
      <c r="D5" s="30">
        <f>SUM(D6:D12)</f>
        <v>51382.476777193384</v>
      </c>
      <c r="E5" s="17">
        <f>SUM(E6:E12)</f>
        <v>263.76403161294013</v>
      </c>
      <c r="F5" s="17">
        <f>SUM(F6:F12)</f>
        <v>3366.6129309338558</v>
      </c>
      <c r="G5" s="18"/>
      <c r="H5" s="17"/>
      <c r="I5" s="17"/>
      <c r="J5" s="17">
        <f>SUM(J6:J12)</f>
        <v>3.9010699446432283E-2</v>
      </c>
      <c r="K5" s="17"/>
      <c r="L5" s="17"/>
      <c r="M5" s="17"/>
      <c r="N5" s="17">
        <f>SUM(N6:N12)</f>
        <v>1558.3752805987169</v>
      </c>
      <c r="O5" s="17">
        <f>B38*B39*B40</f>
        <v>3.1266666666666669</v>
      </c>
      <c r="P5" s="17">
        <f>B46*B47*B48/1000-B46*B47*B48/1000/B49</f>
        <v>38.133333333333333</v>
      </c>
      <c r="R5" s="32"/>
    </row>
    <row r="6" spans="1:18">
      <c r="A6" s="32" t="s">
        <v>54</v>
      </c>
      <c r="B6" s="37">
        <f>B26</f>
        <v>6051.8178938715</v>
      </c>
      <c r="C6" s="33"/>
      <c r="D6" s="37">
        <f>IF(ISERROR(TER_kantoor_gas_kWh/1000),0,TER_kantoor_gas_kWh/1000)*0.902</f>
        <v>3864.3635747337435</v>
      </c>
      <c r="E6" s="33">
        <f>$C$26*'E Balans VL '!I12/100/3.6*1000000</f>
        <v>3.7930781755688453E-2</v>
      </c>
      <c r="F6" s="33">
        <f>$C$26*('E Balans VL '!L12+'E Balans VL '!N12)/100/3.6*1000000</f>
        <v>909.41912552885458</v>
      </c>
      <c r="G6" s="34"/>
      <c r="H6" s="33"/>
      <c r="I6" s="33"/>
      <c r="J6" s="33">
        <f>$C$26*('E Balans VL '!D12+'E Balans VL '!E12)/100/3.6*1000000</f>
        <v>0</v>
      </c>
      <c r="K6" s="33"/>
      <c r="L6" s="33"/>
      <c r="M6" s="33"/>
      <c r="N6" s="33">
        <f>$C$26*'E Balans VL '!Y12/100/3.6*1000000</f>
        <v>5.7876665350140248</v>
      </c>
      <c r="O6" s="33"/>
      <c r="P6" s="33"/>
      <c r="R6" s="32"/>
    </row>
    <row r="7" spans="1:18">
      <c r="A7" s="32" t="s">
        <v>53</v>
      </c>
      <c r="B7" s="37">
        <f t="shared" ref="B7:B12" si="0">B27</f>
        <v>2248.5419528682896</v>
      </c>
      <c r="C7" s="33"/>
      <c r="D7" s="37">
        <f>IF(ISERROR(TER_horeca_gas_kWh/1000),0,TER_horeca_gas_kWh/1000)*0.902</f>
        <v>2029.3019237513352</v>
      </c>
      <c r="E7" s="33">
        <f>$C$27*'E Balans VL '!I9/100/3.6*1000000</f>
        <v>32.198746229482701</v>
      </c>
      <c r="F7" s="33">
        <f>$C$27*('E Balans VL '!L9+'E Balans VL '!N9)/100/3.6*1000000</f>
        <v>284.73957100380034</v>
      </c>
      <c r="G7" s="34"/>
      <c r="H7" s="33"/>
      <c r="I7" s="33"/>
      <c r="J7" s="33">
        <f>$C$27*('E Balans VL '!D9+'E Balans VL '!E9)/100/3.6*1000000</f>
        <v>0</v>
      </c>
      <c r="K7" s="33"/>
      <c r="L7" s="33"/>
      <c r="M7" s="33"/>
      <c r="N7" s="33">
        <f>$C$27*'E Balans VL '!Y9/100/3.6*1000000</f>
        <v>0.64640623535516795</v>
      </c>
      <c r="O7" s="33"/>
      <c r="P7" s="33"/>
      <c r="R7" s="32"/>
    </row>
    <row r="8" spans="1:18">
      <c r="A8" s="6" t="s">
        <v>52</v>
      </c>
      <c r="B8" s="37">
        <f t="shared" si="0"/>
        <v>4594.0453265394099</v>
      </c>
      <c r="C8" s="33"/>
      <c r="D8" s="37">
        <f>IF(ISERROR(TER_handel_gas_kWh/1000),0,TER_handel_gas_kWh/1000)*0.902</f>
        <v>3679.9112725983246</v>
      </c>
      <c r="E8" s="33">
        <f>$C$28*'E Balans VL '!I13/100/3.6*1000000</f>
        <v>166.62545748129534</v>
      </c>
      <c r="F8" s="33">
        <f>$C$28*('E Balans VL '!L13+'E Balans VL '!N13)/100/3.6*1000000</f>
        <v>884.85964755792247</v>
      </c>
      <c r="G8" s="34"/>
      <c r="H8" s="33"/>
      <c r="I8" s="33"/>
      <c r="J8" s="33">
        <f>$C$28*('E Balans VL '!D13+'E Balans VL '!E13)/100/3.6*1000000</f>
        <v>0</v>
      </c>
      <c r="K8" s="33"/>
      <c r="L8" s="33"/>
      <c r="M8" s="33"/>
      <c r="N8" s="33">
        <f>$C$28*'E Balans VL '!Y13/100/3.6*1000000</f>
        <v>6.3638098199440281</v>
      </c>
      <c r="O8" s="33"/>
      <c r="P8" s="33"/>
      <c r="R8" s="32"/>
    </row>
    <row r="9" spans="1:18">
      <c r="A9" s="32" t="s">
        <v>51</v>
      </c>
      <c r="B9" s="37">
        <f t="shared" si="0"/>
        <v>562.42196782830797</v>
      </c>
      <c r="C9" s="33"/>
      <c r="D9" s="37">
        <f>IF(ISERROR(TER_gezond_gas_kWh/1000),0,TER_gezond_gas_kWh/1000)*0.902</f>
        <v>410.12418716554635</v>
      </c>
      <c r="E9" s="33">
        <f>$C$29*'E Balans VL '!I10/100/3.6*1000000</f>
        <v>3.5213168099792511E-2</v>
      </c>
      <c r="F9" s="33">
        <f>$C$29*('E Balans VL '!L10+'E Balans VL '!N10)/100/3.6*1000000</f>
        <v>83.549495732705708</v>
      </c>
      <c r="G9" s="34"/>
      <c r="H9" s="33"/>
      <c r="I9" s="33"/>
      <c r="J9" s="33">
        <f>$C$29*('E Balans VL '!D10+'E Balans VL '!E10)/100/3.6*1000000</f>
        <v>0</v>
      </c>
      <c r="K9" s="33"/>
      <c r="L9" s="33"/>
      <c r="M9" s="33"/>
      <c r="N9" s="33">
        <f>$C$29*'E Balans VL '!Y10/100/3.6*1000000</f>
        <v>8.699597267449235</v>
      </c>
      <c r="O9" s="33"/>
      <c r="P9" s="33"/>
      <c r="R9" s="32"/>
    </row>
    <row r="10" spans="1:18">
      <c r="A10" s="32" t="s">
        <v>50</v>
      </c>
      <c r="B10" s="37">
        <f t="shared" si="0"/>
        <v>1234.9564911268601</v>
      </c>
      <c r="C10" s="33"/>
      <c r="D10" s="37">
        <f>IF(ISERROR(TER_ander_gas_kWh/1000),0,TER_ander_gas_kWh/1000)*0.902</f>
        <v>1478.2070435413882</v>
      </c>
      <c r="E10" s="33">
        <f>$C$30*'E Balans VL '!I14/100/3.6*1000000</f>
        <v>1.4720240075348654</v>
      </c>
      <c r="F10" s="33">
        <f>$C$30*('E Balans VL '!L14+'E Balans VL '!N14)/100/3.6*1000000</f>
        <v>323.119519932218</v>
      </c>
      <c r="G10" s="34"/>
      <c r="H10" s="33"/>
      <c r="I10" s="33"/>
      <c r="J10" s="33">
        <f>$C$30*('E Balans VL '!D14+'E Balans VL '!E14)/100/3.6*1000000</f>
        <v>2.6806064526585533E-2</v>
      </c>
      <c r="K10" s="33"/>
      <c r="L10" s="33"/>
      <c r="M10" s="33"/>
      <c r="N10" s="33">
        <f>$C$30*'E Balans VL '!Y14/100/3.6*1000000</f>
        <v>1048.6948333049538</v>
      </c>
      <c r="O10" s="33"/>
      <c r="P10" s="33"/>
      <c r="R10" s="32"/>
    </row>
    <row r="11" spans="1:18">
      <c r="A11" s="32" t="s">
        <v>55</v>
      </c>
      <c r="B11" s="37">
        <f t="shared" si="0"/>
        <v>53.502812198942401</v>
      </c>
      <c r="C11" s="33"/>
      <c r="D11" s="37">
        <f>IF(ISERROR(TER_onderwijs_gas_kWh/1000),0,TER_onderwijs_gas_kWh/1000)*0.902</f>
        <v>0</v>
      </c>
      <c r="E11" s="33">
        <f>$C$31*'E Balans VL '!I11/100/3.6*1000000</f>
        <v>0.80727126160869012</v>
      </c>
      <c r="F11" s="33">
        <f>$C$31*('E Balans VL '!L11+'E Balans VL '!N11)/100/3.6*1000000</f>
        <v>9.3745474301076026</v>
      </c>
      <c r="G11" s="34"/>
      <c r="H11" s="33"/>
      <c r="I11" s="33"/>
      <c r="J11" s="33">
        <f>$C$31*('E Balans VL '!D11+'E Balans VL '!E11)/100/3.6*1000000</f>
        <v>0</v>
      </c>
      <c r="K11" s="33"/>
      <c r="L11" s="33"/>
      <c r="M11" s="33"/>
      <c r="N11" s="33">
        <f>$C$31*'E Balans VL '!Y11/100/3.6*1000000</f>
        <v>0.15056098096650294</v>
      </c>
      <c r="O11" s="33"/>
      <c r="P11" s="33"/>
      <c r="R11" s="32"/>
    </row>
    <row r="12" spans="1:18">
      <c r="A12" s="32" t="s">
        <v>260</v>
      </c>
      <c r="B12" s="37">
        <f t="shared" si="0"/>
        <v>5040.0610060936506</v>
      </c>
      <c r="C12" s="33"/>
      <c r="D12" s="37">
        <f>IF(ISERROR(TER_rest_gas_kWh/1000),0,TER_rest_gas_kWh/1000)*0.902</f>
        <v>39920.568775403051</v>
      </c>
      <c r="E12" s="33">
        <f>$C$32*'E Balans VL '!I8/100/3.6*1000000</f>
        <v>62.587388683163034</v>
      </c>
      <c r="F12" s="33">
        <f>$C$32*('E Balans VL '!L8+'E Balans VL '!N8)/100/3.6*1000000</f>
        <v>871.55102374824742</v>
      </c>
      <c r="G12" s="34"/>
      <c r="H12" s="33"/>
      <c r="I12" s="33"/>
      <c r="J12" s="33">
        <f>$C$32*('E Balans VL '!D8+'E Balans VL '!E8)/100/3.6*1000000</f>
        <v>1.220463491984675E-2</v>
      </c>
      <c r="K12" s="33"/>
      <c r="L12" s="33"/>
      <c r="M12" s="33"/>
      <c r="N12" s="33">
        <f>$C$32*'E Balans VL '!Y8/100/3.6*1000000</f>
        <v>488.03240645503405</v>
      </c>
      <c r="O12" s="33"/>
      <c r="P12" s="33"/>
      <c r="R12" s="32"/>
    </row>
    <row r="13" spans="1:18">
      <c r="A13" s="16" t="s">
        <v>488</v>
      </c>
      <c r="B13" s="247">
        <f ca="1">'lokale energieproductie'!N90+'lokale energieproductie'!N59</f>
        <v>1035</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-2957.1428571428573</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20820.347450526962</v>
      </c>
      <c r="C16" s="21">
        <f t="shared" ca="1" si="1"/>
        <v>0</v>
      </c>
      <c r="D16" s="21">
        <f t="shared" ca="1" si="1"/>
        <v>51382.476777193384</v>
      </c>
      <c r="E16" s="21">
        <f t="shared" si="1"/>
        <v>263.76403161294013</v>
      </c>
      <c r="F16" s="21">
        <f t="shared" ca="1" si="1"/>
        <v>3366.6129309338558</v>
      </c>
      <c r="G16" s="21">
        <f t="shared" si="1"/>
        <v>0</v>
      </c>
      <c r="H16" s="21">
        <f t="shared" si="1"/>
        <v>0</v>
      </c>
      <c r="I16" s="21">
        <f t="shared" si="1"/>
        <v>0</v>
      </c>
      <c r="J16" s="21">
        <f t="shared" si="1"/>
        <v>3.9010699446432283E-2</v>
      </c>
      <c r="K16" s="21">
        <f t="shared" si="1"/>
        <v>0</v>
      </c>
      <c r="L16" s="21">
        <f t="shared" ca="1" si="1"/>
        <v>0</v>
      </c>
      <c r="M16" s="21">
        <f t="shared" si="1"/>
        <v>0</v>
      </c>
      <c r="N16" s="21">
        <f t="shared" ca="1" si="1"/>
        <v>0</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0.12292258629773853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2559.2909562363011</v>
      </c>
      <c r="C20" s="23">
        <f t="shared" ref="C20:P20" ca="1" si="2">C16*C18</f>
        <v>0</v>
      </c>
      <c r="D20" s="23">
        <f t="shared" ca="1" si="2"/>
        <v>10379.260308993064</v>
      </c>
      <c r="E20" s="23">
        <f t="shared" si="2"/>
        <v>59.874435176137411</v>
      </c>
      <c r="F20" s="23">
        <f t="shared" ca="1" si="2"/>
        <v>898.88565255933952</v>
      </c>
      <c r="G20" s="23">
        <f t="shared" si="2"/>
        <v>0</v>
      </c>
      <c r="H20" s="23">
        <f t="shared" si="2"/>
        <v>0</v>
      </c>
      <c r="I20" s="23">
        <f t="shared" si="2"/>
        <v>0</v>
      </c>
      <c r="J20" s="23">
        <f t="shared" si="2"/>
        <v>1.3809787604037027E-2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6051.8178938715</v>
      </c>
      <c r="C26" s="39">
        <f>IF(ISERROR(B26*3.6/1000000/'E Balans VL '!Z12*100),0,B26*3.6/1000000/'E Balans VL '!Z12*100)</f>
        <v>0.12792584342252081</v>
      </c>
      <c r="D26" s="237" t="s">
        <v>754</v>
      </c>
      <c r="F26" s="6"/>
    </row>
    <row r="27" spans="1:18">
      <c r="A27" s="231" t="s">
        <v>53</v>
      </c>
      <c r="B27" s="33">
        <f>IF(ISERROR(TER_horeca_ele_kWh/1000),0,TER_horeca_ele_kWh/1000)</f>
        <v>2248.5419528682896</v>
      </c>
      <c r="C27" s="39">
        <f>IF(ISERROR(B27*3.6/1000000/'E Balans VL '!Z9*100),0,B27*3.6/1000000/'E Balans VL '!Z9*100)</f>
        <v>0.17725172407023621</v>
      </c>
      <c r="D27" s="237" t="s">
        <v>754</v>
      </c>
      <c r="F27" s="6"/>
    </row>
    <row r="28" spans="1:18">
      <c r="A28" s="171" t="s">
        <v>52</v>
      </c>
      <c r="B28" s="33">
        <f>IF(ISERROR(TER_handel_ele_kWh/1000),0,TER_handel_ele_kWh/1000)</f>
        <v>4594.0453265394099</v>
      </c>
      <c r="C28" s="39">
        <f>IF(ISERROR(B28*3.6/1000000/'E Balans VL '!Z13*100),0,B28*3.6/1000000/'E Balans VL '!Z13*100)</f>
        <v>0.13333775739928089</v>
      </c>
      <c r="D28" s="237" t="s">
        <v>754</v>
      </c>
      <c r="F28" s="6"/>
    </row>
    <row r="29" spans="1:18">
      <c r="A29" s="231" t="s">
        <v>51</v>
      </c>
      <c r="B29" s="33">
        <f>IF(ISERROR(TER_gezond_ele_kWh/1000),0,TER_gezond_ele_kWh/1000)</f>
        <v>562.42196782830797</v>
      </c>
      <c r="C29" s="39">
        <f>IF(ISERROR(B29*3.6/1000000/'E Balans VL '!Z10*100),0,B29*3.6/1000000/'E Balans VL '!Z10*100)</f>
        <v>5.9232268424806486E-2</v>
      </c>
      <c r="D29" s="237" t="s">
        <v>754</v>
      </c>
      <c r="F29" s="6"/>
    </row>
    <row r="30" spans="1:18">
      <c r="A30" s="231" t="s">
        <v>50</v>
      </c>
      <c r="B30" s="33">
        <f>IF(ISERROR(TER_ander_ele_kWh/1000),0,TER_ander_ele_kWh/1000)</f>
        <v>1234.9564911268601</v>
      </c>
      <c r="C30" s="39">
        <f>IF(ISERROR(B30*3.6/1000000/'E Balans VL '!Z14*100),0,B30*3.6/1000000/'E Balans VL '!Z14*100)</f>
        <v>9.10906590167328E-2</v>
      </c>
      <c r="D30" s="237" t="s">
        <v>754</v>
      </c>
      <c r="F30" s="6"/>
    </row>
    <row r="31" spans="1:18">
      <c r="A31" s="231" t="s">
        <v>55</v>
      </c>
      <c r="B31" s="33">
        <f>IF(ISERROR(TER_onderwijs_ele_kWh/1000),0,TER_onderwijs_ele_kWh/1000)</f>
        <v>53.502812198942401</v>
      </c>
      <c r="C31" s="39">
        <f>IF(ISERROR(B31*3.6/1000000/'E Balans VL '!Z11*100),0,B31*3.6/1000000/'E Balans VL '!Z11*100)</f>
        <v>1.3287254488317213E-2</v>
      </c>
      <c r="D31" s="237" t="s">
        <v>754</v>
      </c>
    </row>
    <row r="32" spans="1:18">
      <c r="A32" s="231" t="s">
        <v>260</v>
      </c>
      <c r="B32" s="33">
        <f>IF(ISERROR(TER_rest_ele_kWh/1000),0,TER_rest_ele_kWh/1000)</f>
        <v>5040.0610060936506</v>
      </c>
      <c r="C32" s="39">
        <f>IF(ISERROR(B32*3.6/1000000/'E Balans VL '!Z8*100),0,B32*3.6/1000000/'E Balans VL '!Z8*100)</f>
        <v>4.1473012079221404E-2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73881.594704370276</v>
      </c>
      <c r="C5" s="17">
        <f>IF(ISERROR('Eigen informatie GS &amp; warmtenet'!B59),0,'Eigen informatie GS &amp; warmtenet'!B59)</f>
        <v>0</v>
      </c>
      <c r="D5" s="30">
        <f>SUM(D6:D15)</f>
        <v>83687.286278120329</v>
      </c>
      <c r="E5" s="17">
        <f>SUM(E6:E15)</f>
        <v>3433.1660945846852</v>
      </c>
      <c r="F5" s="17">
        <f>SUM(F6:F15)</f>
        <v>13009.095210868942</v>
      </c>
      <c r="G5" s="18"/>
      <c r="H5" s="17"/>
      <c r="I5" s="17"/>
      <c r="J5" s="17">
        <f>SUM(J6:J15)</f>
        <v>181.36978305800835</v>
      </c>
      <c r="K5" s="17"/>
      <c r="L5" s="17"/>
      <c r="M5" s="17"/>
      <c r="N5" s="17">
        <f>SUM(N6:N15)</f>
        <v>13486.562046827803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137.60740824367602</v>
      </c>
      <c r="C8" s="33"/>
      <c r="D8" s="37">
        <f>IF( ISERROR(IND_metaal_Gas_kWH/1000),0,IND_metaal_Gas_kWH/1000)*0.902</f>
        <v>0</v>
      </c>
      <c r="E8" s="33">
        <f>C30*'E Balans VL '!I18/100/3.6*1000000</f>
        <v>1.2651672163018126</v>
      </c>
      <c r="F8" s="33">
        <f>C30*'E Balans VL '!L18/100/3.6*1000000+C30*'E Balans VL '!N18/100/3.6*1000000</f>
        <v>12.902993478884614</v>
      </c>
      <c r="G8" s="34"/>
      <c r="H8" s="33"/>
      <c r="I8" s="33"/>
      <c r="J8" s="40">
        <f>C30*'E Balans VL '!D18/100/3.6*1000000+C30*'E Balans VL '!E18/100/3.6*1000000</f>
        <v>0</v>
      </c>
      <c r="K8" s="33"/>
      <c r="L8" s="33"/>
      <c r="M8" s="33"/>
      <c r="N8" s="33">
        <f>C30*'E Balans VL '!Y18/100/3.6*1000000</f>
        <v>1.9631970844144584</v>
      </c>
      <c r="O8" s="33"/>
      <c r="P8" s="33"/>
      <c r="R8" s="32"/>
    </row>
    <row r="9" spans="1:18">
      <c r="A9" s="6" t="s">
        <v>33</v>
      </c>
      <c r="B9" s="37">
        <f t="shared" si="0"/>
        <v>2018.22870562917</v>
      </c>
      <c r="C9" s="33"/>
      <c r="D9" s="37">
        <f>IF( ISERROR(IND_andere_gas_kWh/1000),0,IND_andere_gas_kWh/1000)*0.902</f>
        <v>1575.5468264748974</v>
      </c>
      <c r="E9" s="33">
        <f>C31*'E Balans VL '!I19/100/3.6*1000000</f>
        <v>589.96754093404343</v>
      </c>
      <c r="F9" s="33">
        <f>C31*'E Balans VL '!L19/100/3.6*1000000+C31*'E Balans VL '!N19/100/3.6*1000000</f>
        <v>1621.7995308490206</v>
      </c>
      <c r="G9" s="34"/>
      <c r="H9" s="33"/>
      <c r="I9" s="33"/>
      <c r="J9" s="40">
        <f>C31*'E Balans VL '!D19/100/3.6*1000000+C31*'E Balans VL '!E19/100/3.6*1000000</f>
        <v>0</v>
      </c>
      <c r="K9" s="33"/>
      <c r="L9" s="33"/>
      <c r="M9" s="33"/>
      <c r="N9" s="33">
        <f>C31*'E Balans VL '!Y19/100/3.6*1000000</f>
        <v>666.85406484789428</v>
      </c>
      <c r="O9" s="33"/>
      <c r="P9" s="33"/>
      <c r="R9" s="32"/>
    </row>
    <row r="10" spans="1:18">
      <c r="A10" s="6" t="s">
        <v>41</v>
      </c>
      <c r="B10" s="37">
        <f t="shared" si="0"/>
        <v>21050.667324746501</v>
      </c>
      <c r="C10" s="33"/>
      <c r="D10" s="37">
        <f>IF( ISERROR(IND_voed_gas_kWh/1000),0,IND_voed_gas_kWh/1000)*0.902</f>
        <v>33405.985010881188</v>
      </c>
      <c r="E10" s="33">
        <f>C32*'E Balans VL '!I20/100/3.6*1000000</f>
        <v>44.533013119963861</v>
      </c>
      <c r="F10" s="33">
        <f>C32*'E Balans VL '!L20/100/3.6*1000000+C32*'E Balans VL '!N20/100/3.6*1000000</f>
        <v>1338.4229311335</v>
      </c>
      <c r="G10" s="34"/>
      <c r="H10" s="33"/>
      <c r="I10" s="33"/>
      <c r="J10" s="40">
        <f>C32*'E Balans VL '!D20/100/3.6*1000000+C32*'E Balans VL '!E20/100/3.6*1000000</f>
        <v>0</v>
      </c>
      <c r="K10" s="33"/>
      <c r="L10" s="33"/>
      <c r="M10" s="33"/>
      <c r="N10" s="33">
        <f>C32*'E Balans VL '!Y20/100/3.6*1000000</f>
        <v>1452.7037784685394</v>
      </c>
      <c r="O10" s="33"/>
      <c r="P10" s="33"/>
      <c r="R10" s="32"/>
    </row>
    <row r="11" spans="1:18">
      <c r="A11" s="6" t="s">
        <v>40</v>
      </c>
      <c r="B11" s="37">
        <f t="shared" si="0"/>
        <v>12.871592030433799</v>
      </c>
      <c r="C11" s="33"/>
      <c r="D11" s="37">
        <f>IF( ISERROR(IND_textiel_gas_kWh/1000),0,IND_textiel_gas_kWh/1000)*0.902</f>
        <v>0</v>
      </c>
      <c r="E11" s="33">
        <f>C33*'E Balans VL '!I21/100/3.6*1000000</f>
        <v>3.8227518585815204E-2</v>
      </c>
      <c r="F11" s="33">
        <f>C33*'E Balans VL '!L21/100/3.6*1000000+C33*'E Balans VL '!N21/100/3.6*1000000</f>
        <v>1.3003841732624113</v>
      </c>
      <c r="G11" s="34"/>
      <c r="H11" s="33"/>
      <c r="I11" s="33"/>
      <c r="J11" s="40">
        <f>C33*'E Balans VL '!D21/100/3.6*1000000+C33*'E Balans VL '!E21/100/3.6*1000000</f>
        <v>0</v>
      </c>
      <c r="K11" s="33"/>
      <c r="L11" s="33"/>
      <c r="M11" s="33"/>
      <c r="N11" s="33">
        <f>C33*'E Balans VL '!Y21/100/3.6*1000000</f>
        <v>0.70990937828837108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50662.219673720501</v>
      </c>
      <c r="C15" s="33"/>
      <c r="D15" s="37">
        <f>IF( ISERROR(IND_rest_gas_kWh/1000),0,IND_rest_gas_kWh/1000)*0.902</f>
        <v>48705.754440764234</v>
      </c>
      <c r="E15" s="33">
        <f>C37*'E Balans VL '!I15/100/3.6*1000000</f>
        <v>2797.3621457957902</v>
      </c>
      <c r="F15" s="33">
        <f>C37*'E Balans VL '!L15/100/3.6*1000000+C37*'E Balans VL '!N15/100/3.6*1000000</f>
        <v>10034.669371234275</v>
      </c>
      <c r="G15" s="34"/>
      <c r="H15" s="33"/>
      <c r="I15" s="33"/>
      <c r="J15" s="40">
        <f>C37*'E Balans VL '!D15/100/3.6*1000000+C37*'E Balans VL '!E15/100/3.6*1000000</f>
        <v>181.36978305800835</v>
      </c>
      <c r="K15" s="33"/>
      <c r="L15" s="33"/>
      <c r="M15" s="33"/>
      <c r="N15" s="33">
        <f>C37*'E Balans VL '!Y15/100/3.6*1000000</f>
        <v>11364.331097048667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73881.594704370276</v>
      </c>
      <c r="C18" s="21">
        <f>C5+C16</f>
        <v>0</v>
      </c>
      <c r="D18" s="21">
        <f>MAX((D5+D16),0)</f>
        <v>83687.286278120329</v>
      </c>
      <c r="E18" s="21">
        <f>MAX((E5+E16),0)</f>
        <v>3433.1660945846852</v>
      </c>
      <c r="F18" s="21">
        <f>MAX((F5+F16),0)</f>
        <v>13009.095210868942</v>
      </c>
      <c r="G18" s="21"/>
      <c r="H18" s="21"/>
      <c r="I18" s="21"/>
      <c r="J18" s="21">
        <f>MAX((J5+J16),0)</f>
        <v>181.36978305800835</v>
      </c>
      <c r="K18" s="21"/>
      <c r="L18" s="21">
        <f>MAX((L5+L16),0)</f>
        <v>0</v>
      </c>
      <c r="M18" s="21"/>
      <c r="N18" s="21">
        <f>MAX((N5+N16),0)</f>
        <v>13486.562046827803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0.12292258629773853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9081.7167008624965</v>
      </c>
      <c r="C22" s="23">
        <f ca="1">C18*C20</f>
        <v>0</v>
      </c>
      <c r="D22" s="23">
        <f>D18*D20</f>
        <v>16904.831828180308</v>
      </c>
      <c r="E22" s="23">
        <f>E18*E20</f>
        <v>779.32870347072355</v>
      </c>
      <c r="F22" s="23">
        <f>F18*F20</f>
        <v>3473.4284213020078</v>
      </c>
      <c r="G22" s="23"/>
      <c r="H22" s="23"/>
      <c r="I22" s="23"/>
      <c r="J22" s="23">
        <f>J18*J20</f>
        <v>64.20490320253495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137.60740824367602</v>
      </c>
      <c r="C30" s="39">
        <f>IF(ISERROR(B30*3.6/1000000/'E Balans VL '!Z18*100),0,B30*3.6/1000000/'E Balans VL '!Z18*100)</f>
        <v>7.798564673641855E-3</v>
      </c>
      <c r="D30" s="237" t="s">
        <v>754</v>
      </c>
    </row>
    <row r="31" spans="1:18">
      <c r="A31" s="6" t="s">
        <v>33</v>
      </c>
      <c r="B31" s="37">
        <f>IF( ISERROR(IND_ander_ele_kWh/1000),0,IND_ander_ele_kWh/1000)</f>
        <v>2018.22870562917</v>
      </c>
      <c r="C31" s="39">
        <f>IF(ISERROR(B31*3.6/1000000/'E Balans VL '!Z19*100),0,B31*3.6/1000000/'E Balans VL '!Z19*100)</f>
        <v>9.1538450329273741E-2</v>
      </c>
      <c r="D31" s="237" t="s">
        <v>754</v>
      </c>
    </row>
    <row r="32" spans="1:18">
      <c r="A32" s="171" t="s">
        <v>41</v>
      </c>
      <c r="B32" s="37">
        <f>IF( ISERROR(IND_voed_ele_kWh/1000),0,IND_voed_ele_kWh/1000)</f>
        <v>21050.667324746501</v>
      </c>
      <c r="C32" s="39">
        <f>IF(ISERROR(B32*3.6/1000000/'E Balans VL '!Z20*100),0,B32*3.6/1000000/'E Balans VL '!Z20*100)</f>
        <v>0.65119270231524229</v>
      </c>
      <c r="D32" s="237" t="s">
        <v>754</v>
      </c>
    </row>
    <row r="33" spans="1:5">
      <c r="A33" s="171" t="s">
        <v>40</v>
      </c>
      <c r="B33" s="37">
        <f>IF( ISERROR(IND_textiel_ele_kWh/1000),0,IND_textiel_ele_kWh/1000)</f>
        <v>12.871592030433799</v>
      </c>
      <c r="C33" s="39">
        <f>IF(ISERROR(B33*3.6/1000000/'E Balans VL '!Z21*100),0,B33*3.6/1000000/'E Balans VL '!Z21*100)</f>
        <v>1.6783125257377491E-3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50662.219673720501</v>
      </c>
      <c r="C37" s="39">
        <f>IF(ISERROR(B37*3.6/1000000/'E Balans VL '!Z15*100),0,B37*3.6/1000000/'E Balans VL '!Z15*100)</f>
        <v>0.40156031003733245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451.26266626120497</v>
      </c>
      <c r="C5" s="17">
        <f>'Eigen informatie GS &amp; warmtenet'!B60</f>
        <v>0</v>
      </c>
      <c r="D5" s="30">
        <f>IF(ISERROR(SUM(LB_lb_gas_kWh,LB_rest_gas_kWh,onbekend_gas_kWh)/1000),0,SUM(LB_lb_gas_kWh,LB_rest_gas_kWh,onbekend_gas_kWh)/1000)*0.902</f>
        <v>24680.185148438813</v>
      </c>
      <c r="E5" s="17">
        <f>B17*'E Balans VL '!I25/3.6*1000000/100</f>
        <v>13.26398807668679</v>
      </c>
      <c r="F5" s="17">
        <f>B17*('E Balans VL '!L25/3.6*1000000+'E Balans VL '!N25/3.6*1000000)/100</f>
        <v>1879.9358826896046</v>
      </c>
      <c r="G5" s="18"/>
      <c r="H5" s="17"/>
      <c r="I5" s="17"/>
      <c r="J5" s="17">
        <f>('E Balans VL '!D25+'E Balans VL '!E25)/3.6*1000000*landbouw!B17/100</f>
        <v>65.378269364559131</v>
      </c>
      <c r="K5" s="17"/>
      <c r="L5" s="17">
        <f>L6*(-1)</f>
        <v>0</v>
      </c>
      <c r="M5" s="17"/>
      <c r="N5" s="17">
        <f>N6*(-1)</f>
        <v>0</v>
      </c>
      <c r="O5" s="17"/>
      <c r="P5" s="17"/>
      <c r="R5" s="32"/>
    </row>
    <row r="6" spans="1:18">
      <c r="A6" s="16" t="s">
        <v>488</v>
      </c>
      <c r="B6" s="17" t="s">
        <v>211</v>
      </c>
      <c r="C6" s="17">
        <f>'lokale energieproductie'!O91+'lokale energieproductie'!O60</f>
        <v>9000</v>
      </c>
      <c r="D6" s="310">
        <f>('lokale energieproductie'!P60+'lokale energieproductie'!P91)*(-1)</f>
        <v>-18000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451.26266626120497</v>
      </c>
      <c r="C8" s="21">
        <f>C5+C6</f>
        <v>9000</v>
      </c>
      <c r="D8" s="21">
        <f>MAX((D5+D6),0)</f>
        <v>6680.1851484388135</v>
      </c>
      <c r="E8" s="21">
        <f>MAX((E5+E6),0)</f>
        <v>13.26398807668679</v>
      </c>
      <c r="F8" s="21">
        <f>MAX((F5+F6),0)</f>
        <v>1879.9358826896046</v>
      </c>
      <c r="G8" s="21"/>
      <c r="H8" s="21"/>
      <c r="I8" s="21"/>
      <c r="J8" s="21">
        <f>MAX((J5+J6),0)</f>
        <v>65.378269364559131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0.12292258629773853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55.470374036440546</v>
      </c>
      <c r="C12" s="23">
        <f ca="1">C8*C10</f>
        <v>2138.8235294117649</v>
      </c>
      <c r="D12" s="23">
        <f>D8*D10</f>
        <v>1349.3973999846405</v>
      </c>
      <c r="E12" s="23">
        <f>E8*E10</f>
        <v>3.0109252934079014</v>
      </c>
      <c r="F12" s="23">
        <f>F8*F10</f>
        <v>501.94288067812442</v>
      </c>
      <c r="G12" s="23"/>
      <c r="H12" s="23"/>
      <c r="I12" s="23"/>
      <c r="J12" s="23">
        <f>J8*J10</f>
        <v>23.14390735505393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6.4035588135903085E-2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141.2068055894207</v>
      </c>
      <c r="C26" s="247">
        <f>B26*'GWP N2O_CH4'!B5</f>
        <v>2965.3429173778345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36.97268432317334</v>
      </c>
      <c r="C27" s="247">
        <f>B27*'GWP N2O_CH4'!B5</f>
        <v>776.42637078664018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1.7402042627238026</v>
      </c>
      <c r="C28" s="247">
        <f>B28*'GWP N2O_CH4'!B4</f>
        <v>539.46332144437883</v>
      </c>
      <c r="D28" s="50"/>
    </row>
    <row r="29" spans="1:4">
      <c r="A29" s="41" t="s">
        <v>277</v>
      </c>
      <c r="B29" s="247">
        <f>B34*'ha_N2O bodem landbouw'!B4</f>
        <v>4.2245018819929996</v>
      </c>
      <c r="C29" s="247">
        <f>B29*'GWP N2O_CH4'!B4</f>
        <v>1309.5955834178299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9.6401677118966166E-4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2.1890908762233754E-4</v>
      </c>
      <c r="C5" s="463" t="s">
        <v>211</v>
      </c>
      <c r="D5" s="448">
        <f>SUM(D6:D11)</f>
        <v>6.9584521083880589E-4</v>
      </c>
      <c r="E5" s="448">
        <f>SUM(E6:E11)</f>
        <v>1.0487500050017807E-3</v>
      </c>
      <c r="F5" s="461" t="s">
        <v>211</v>
      </c>
      <c r="G5" s="448">
        <f>SUM(G6:G11)</f>
        <v>0.41098312812537274</v>
      </c>
      <c r="H5" s="448">
        <f>SUM(H6:H11)</f>
        <v>8.0463852828496343E-2</v>
      </c>
      <c r="I5" s="463" t="s">
        <v>211</v>
      </c>
      <c r="J5" s="463" t="s">
        <v>211</v>
      </c>
      <c r="K5" s="463" t="s">
        <v>211</v>
      </c>
      <c r="L5" s="463" t="s">
        <v>211</v>
      </c>
      <c r="M5" s="448">
        <f>SUM(M6:M11)</f>
        <v>2.6400151706766118E-2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1.0903824009741761E-4</v>
      </c>
      <c r="C6" s="449"/>
      <c r="D6" s="962">
        <f>vkm_2011_GW_PW*SUMIFS(TableVerdeelsleutelVkm[CNG],TableVerdeelsleutelVkm[Voertuigtype],"Lichte voertuigen")*SUMIFS(TableECFTransport[EnergieConsumptieFactor (PJ per km)],TableECFTransport[Index],CONCATENATE($A6,"_CNG_CNG"))</f>
        <v>3.2705213803498084E-4</v>
      </c>
      <c r="E6" s="962">
        <f>vkm_2011_GW_PW*SUMIFS(TableVerdeelsleutelVkm[LPG],TableVerdeelsleutelVkm[Voertuigtype],"Lichte voertuigen")*SUMIFS(TableECFTransport[EnergieConsumptieFactor (PJ per km)],TableECFTransport[Index],CONCATENATE($A6,"_LPG_LPG"))</f>
        <v>4.4680019928019501E-4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0.11552204989438375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3.7191911226435996E-2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7.8531717869746772E-3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5.659720927696623E-2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1.7246662248737467E-5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3.3073529790780608E-3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1.0963493677618289E-5</v>
      </c>
      <c r="C8" s="449"/>
      <c r="D8" s="451">
        <f>vkm_2011_NGW_PW*SUMIFS(TableVerdeelsleutelVkm[CNG],TableVerdeelsleutelVkm[Voertuigtype],"Lichte voertuigen")*SUMIFS(TableECFTransport[EnergieConsumptieFactor (PJ per km)],TableECFTransport[Index],CONCATENATE($A8,"_CNG_CNG"))</f>
        <v>5.8468455639920145E-5</v>
      </c>
      <c r="E8" s="451">
        <f>vkm_2011_NGW_PW*SUMIFS(TableVerdeelsleutelVkm[LPG],TableVerdeelsleutelVkm[Voertuigtype],"Lichte voertuigen")*SUMIFS(TableECFTransport[EnergieConsumptieFactor (PJ per km)],TableECFTransport[Index],CONCATENATE($A8,"_LPG_LPG"))</f>
        <v>7.3974525989684473E-5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1.7823800982407937E-2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6.4613239777257161E-3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1.2331113363103639E-3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5.8264933489837467E-3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1.6714667739740295E-6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3.4047783816386768E-4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9.8907353847301659E-5</v>
      </c>
      <c r="C10" s="449"/>
      <c r="D10" s="451">
        <f>vkm_2011_SW_PW*SUMIFS(TableVerdeelsleutelVkm[CNG],TableVerdeelsleutelVkm[Voertuigtype],"Lichte voertuigen")*SUMIFS(TableECFTransport[EnergieConsumptieFactor (PJ per km)],TableECFTransport[Index],CONCATENATE($A10,"_CNG_CNG"))</f>
        <v>3.1032461716390484E-4</v>
      </c>
      <c r="E10" s="451">
        <f>vkm_2011_SW_PW*SUMIFS(TableVerdeelsleutelVkm[LPG],TableVerdeelsleutelVkm[Voertuigtype],"Lichte voertuigen")*SUMIFS(TableECFTransport[EnergieConsumptieFactor (PJ per km)],TableECFTransport[Index],CONCATENATE($A10,"_LPG_LPG"))</f>
        <v>5.2797527973190113E-4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0.12169949821052066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3.6760926727707352E-2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8.2013181082141486E-3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9.3514076412110403E-2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3.0772767604562103E-5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5.4647196580249998E-3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60.808079895093762</v>
      </c>
      <c r="C14" s="21"/>
      <c r="D14" s="21">
        <f t="shared" ref="D14:M14" si="0">((D5)*10^9/3600)+D12</f>
        <v>193.29033634411275</v>
      </c>
      <c r="E14" s="21">
        <f t="shared" si="0"/>
        <v>291.31944583382796</v>
      </c>
      <c r="F14" s="21"/>
      <c r="G14" s="21">
        <f t="shared" si="0"/>
        <v>114161.98003482577</v>
      </c>
      <c r="H14" s="21">
        <f t="shared" si="0"/>
        <v>22351.07023013787</v>
      </c>
      <c r="I14" s="21"/>
      <c r="J14" s="21"/>
      <c r="K14" s="21"/>
      <c r="L14" s="21"/>
      <c r="M14" s="21">
        <f t="shared" si="0"/>
        <v>7333.3754741016992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0.12292258629773853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7.4746864485044417</v>
      </c>
      <c r="C18" s="23"/>
      <c r="D18" s="23">
        <f t="shared" ref="D18:M18" si="1">D14*D16</f>
        <v>39.044647941510775</v>
      </c>
      <c r="E18" s="23">
        <f t="shared" si="1"/>
        <v>66.129514204278948</v>
      </c>
      <c r="F18" s="23"/>
      <c r="G18" s="23">
        <f t="shared" si="1"/>
        <v>30481.248669298482</v>
      </c>
      <c r="H18" s="23">
        <f t="shared" si="1"/>
        <v>5565.4164873043292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2.2396992545894337E-3</v>
      </c>
      <c r="H50" s="321">
        <f t="shared" si="2"/>
        <v>0</v>
      </c>
      <c r="I50" s="321">
        <f t="shared" si="2"/>
        <v>0</v>
      </c>
      <c r="J50" s="321">
        <f t="shared" si="2"/>
        <v>0</v>
      </c>
      <c r="K50" s="321">
        <f t="shared" si="2"/>
        <v>0</v>
      </c>
      <c r="L50" s="321">
        <f t="shared" si="2"/>
        <v>0</v>
      </c>
      <c r="M50" s="321">
        <f t="shared" si="2"/>
        <v>1.2720503033724197E-4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2.2396992545894337E-3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1.2720503033724197E-4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622.13868183039824</v>
      </c>
      <c r="H54" s="21">
        <f t="shared" si="3"/>
        <v>0</v>
      </c>
      <c r="I54" s="21">
        <f t="shared" si="3"/>
        <v>0</v>
      </c>
      <c r="J54" s="21">
        <f t="shared" si="3"/>
        <v>0</v>
      </c>
      <c r="K54" s="21">
        <f t="shared" si="3"/>
        <v>0</v>
      </c>
      <c r="L54" s="21">
        <f t="shared" si="3"/>
        <v>0</v>
      </c>
      <c r="M54" s="21">
        <f t="shared" si="3"/>
        <v>35.334730649233883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0.12292258629773853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166.11102804871635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39614.131571063946</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2374.7337055290104</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8753.7518001184453</v>
      </c>
      <c r="C6" s="1263"/>
      <c r="D6" s="1248"/>
      <c r="E6" s="1248"/>
      <c r="F6" s="1266"/>
      <c r="G6" s="1269"/>
      <c r="H6" s="1260"/>
      <c r="I6" s="1248"/>
      <c r="J6" s="1248"/>
      <c r="K6" s="1248"/>
      <c r="L6" s="1252"/>
      <c r="M6" s="575"/>
      <c r="N6" s="1226"/>
      <c r="O6" s="1227"/>
      <c r="Q6" s="573"/>
      <c r="R6" s="1214"/>
      <c r="S6" s="1214"/>
    </row>
    <row r="7" spans="1:19" s="563" customFormat="1">
      <c r="A7" s="576" t="s">
        <v>252</v>
      </c>
      <c r="B7" s="577">
        <f>N57</f>
        <v>6300</v>
      </c>
      <c r="C7" s="578">
        <f>B100</f>
        <v>7411.7647058823522</v>
      </c>
      <c r="D7" s="579"/>
      <c r="E7" s="579">
        <f>E100</f>
        <v>0</v>
      </c>
      <c r="F7" s="580"/>
      <c r="G7" s="581"/>
      <c r="H7" s="579">
        <f>I100</f>
        <v>0</v>
      </c>
      <c r="I7" s="579">
        <f>G100+F100</f>
        <v>0</v>
      </c>
      <c r="J7" s="579">
        <f>H100+D100+C100</f>
        <v>0</v>
      </c>
      <c r="K7" s="579"/>
      <c r="L7" s="582"/>
      <c r="M7" s="583">
        <f>C7*$C$11+D7*$D$11+E7*$E$11+F7*$F$11+G7*$G$11+H7*$H$11+I7*$I$11+J7*$J$11</f>
        <v>1497.1764705882354</v>
      </c>
      <c r="N7" s="1226"/>
      <c r="O7" s="1227"/>
      <c r="Q7" s="573"/>
      <c r="R7" s="1214"/>
      <c r="S7" s="1214"/>
    </row>
    <row r="8" spans="1:19" s="563" customFormat="1" ht="17.45" customHeight="1" thickBot="1">
      <c r="A8" s="584" t="s">
        <v>248</v>
      </c>
      <c r="B8" s="585">
        <f>N88+'Eigen informatie GS &amp; warmtenet'!B12</f>
        <v>1035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58077.617076711402</v>
      </c>
      <c r="C9" s="594">
        <f t="shared" ref="C9:L9" si="0">SUM(C7:C8)</f>
        <v>7411.7647058823522</v>
      </c>
      <c r="D9" s="594">
        <f t="shared" si="0"/>
        <v>0</v>
      </c>
      <c r="E9" s="594">
        <f t="shared" si="0"/>
        <v>0</v>
      </c>
      <c r="F9" s="594">
        <f t="shared" si="0"/>
        <v>0</v>
      </c>
      <c r="G9" s="594">
        <f t="shared" si="0"/>
        <v>0</v>
      </c>
      <c r="H9" s="594">
        <f t="shared" si="0"/>
        <v>0</v>
      </c>
      <c r="I9" s="594">
        <f t="shared" si="0"/>
        <v>0</v>
      </c>
      <c r="J9" s="594">
        <f t="shared" si="0"/>
        <v>2957.1428571428573</v>
      </c>
      <c r="K9" s="594">
        <f t="shared" si="0"/>
        <v>0</v>
      </c>
      <c r="L9" s="594">
        <f t="shared" si="0"/>
        <v>0</v>
      </c>
      <c r="M9" s="595">
        <f>SUM(M4:M8)</f>
        <v>1497.1764705882354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9000</v>
      </c>
      <c r="C16" s="610">
        <f>B101</f>
        <v>10588.235294117647</v>
      </c>
      <c r="D16" s="611"/>
      <c r="E16" s="611">
        <f>E101</f>
        <v>0</v>
      </c>
      <c r="F16" s="612"/>
      <c r="G16" s="613"/>
      <c r="H16" s="610">
        <f>I101</f>
        <v>0</v>
      </c>
      <c r="I16" s="611">
        <f>G101+F101</f>
        <v>0</v>
      </c>
      <c r="J16" s="611">
        <f>H101+D101+C101</f>
        <v>0</v>
      </c>
      <c r="K16" s="611"/>
      <c r="L16" s="614"/>
      <c r="M16" s="615">
        <f>C16*$C$21+E16*$E$21+H16*$H$21+I16*$I$21+J16*$J$21+D16*$D$21+F16*$F$21+G16*$G$21+K16*$K$21+L16*$L$21</f>
        <v>2138.8235294117649</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9000</v>
      </c>
      <c r="C19" s="593">
        <f>SUM(C16:C18)</f>
        <v>10588.235294117647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2138.8235294117649</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13029</v>
      </c>
      <c r="C27" s="851">
        <v>2250</v>
      </c>
      <c r="D27" s="672" t="s">
        <v>844</v>
      </c>
      <c r="E27" s="671" t="s">
        <v>845</v>
      </c>
      <c r="F27" s="671" t="s">
        <v>846</v>
      </c>
      <c r="G27" s="671" t="s">
        <v>847</v>
      </c>
      <c r="H27" s="671" t="s">
        <v>848</v>
      </c>
      <c r="I27" s="671" t="s">
        <v>845</v>
      </c>
      <c r="J27" s="850">
        <v>39462</v>
      </c>
      <c r="K27" s="850">
        <v>39462</v>
      </c>
      <c r="L27" s="671" t="s">
        <v>849</v>
      </c>
      <c r="M27" s="671">
        <v>1400</v>
      </c>
      <c r="N27" s="671">
        <v>6300</v>
      </c>
      <c r="O27" s="671">
        <v>9000</v>
      </c>
      <c r="P27" s="671">
        <v>18000</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1400</v>
      </c>
      <c r="N57" s="629">
        <f>SUM(N27:N56)</f>
        <v>6300</v>
      </c>
      <c r="O57" s="629">
        <f t="shared" ref="O57:W57" si="2">SUM(O27:O56)</f>
        <v>9000</v>
      </c>
      <c r="P57" s="629">
        <f t="shared" si="2"/>
        <v>18000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1400</v>
      </c>
      <c r="N60" s="634">
        <f t="shared" ref="N60:W60" si="4">SUMIF($Z$27:$Z$56,"landbouw",N27:N56)</f>
        <v>6300</v>
      </c>
      <c r="O60" s="634">
        <f t="shared" si="4"/>
        <v>9000</v>
      </c>
      <c r="P60" s="634">
        <f t="shared" si="4"/>
        <v>18000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13029</v>
      </c>
      <c r="C63" s="851">
        <v>2250</v>
      </c>
      <c r="D63" s="674" t="s">
        <v>850</v>
      </c>
      <c r="E63" s="674" t="s">
        <v>851</v>
      </c>
      <c r="F63" s="674" t="s">
        <v>852</v>
      </c>
      <c r="G63" s="674" t="s">
        <v>853</v>
      </c>
      <c r="H63" s="674" t="s">
        <v>854</v>
      </c>
      <c r="I63" s="674" t="s">
        <v>855</v>
      </c>
      <c r="J63" s="850">
        <v>37067</v>
      </c>
      <c r="K63" s="850">
        <v>37653</v>
      </c>
      <c r="L63" s="674" t="s">
        <v>850</v>
      </c>
      <c r="M63" s="674">
        <v>230</v>
      </c>
      <c r="N63" s="674">
        <v>1035</v>
      </c>
      <c r="O63" s="674">
        <v>0</v>
      </c>
      <c r="P63" s="674">
        <v>0</v>
      </c>
      <c r="Q63" s="674">
        <v>0</v>
      </c>
      <c r="R63" s="674">
        <v>2957.1428571428573</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230</v>
      </c>
      <c r="N88" s="629">
        <f t="shared" ref="N88:W88" si="5">SUM(N63:N87)</f>
        <v>1035</v>
      </c>
      <c r="O88" s="629">
        <f t="shared" si="5"/>
        <v>0</v>
      </c>
      <c r="P88" s="629">
        <f t="shared" si="5"/>
        <v>0</v>
      </c>
      <c r="Q88" s="629">
        <f t="shared" si="5"/>
        <v>0</v>
      </c>
      <c r="R88" s="629">
        <f t="shared" si="5"/>
        <v>2957.1428571428573</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230</v>
      </c>
      <c r="N90" s="629">
        <f t="shared" ref="N90:W90" si="7">SUMIF($Z$63:$Z$88,"tertiair",N63:N88)</f>
        <v>1035</v>
      </c>
      <c r="O90" s="629">
        <f t="shared" si="7"/>
        <v>0</v>
      </c>
      <c r="P90" s="629">
        <f t="shared" si="7"/>
        <v>0</v>
      </c>
      <c r="Q90" s="629">
        <f t="shared" si="7"/>
        <v>0</v>
      </c>
      <c r="R90" s="629">
        <f t="shared" si="7"/>
        <v>2957.1428571428573</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7411.7647058823522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10588.235294117647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21419.603450526964</v>
      </c>
      <c r="D10" s="718">
        <f ca="1">tertiair!C16</f>
        <v>0</v>
      </c>
      <c r="E10" s="718">
        <f ca="1">tertiair!D16</f>
        <v>51382.476777193384</v>
      </c>
      <c r="F10" s="718">
        <f>tertiair!E16</f>
        <v>263.76403161294013</v>
      </c>
      <c r="G10" s="718">
        <f ca="1">tertiair!F16</f>
        <v>3366.6129309338558</v>
      </c>
      <c r="H10" s="718">
        <f>tertiair!G16</f>
        <v>0</v>
      </c>
      <c r="I10" s="718">
        <f>tertiair!H16</f>
        <v>0</v>
      </c>
      <c r="J10" s="718">
        <f>tertiair!I16</f>
        <v>0</v>
      </c>
      <c r="K10" s="718">
        <f>tertiair!J16</f>
        <v>3.9010699446432283E-2</v>
      </c>
      <c r="L10" s="718">
        <f>tertiair!K16</f>
        <v>0</v>
      </c>
      <c r="M10" s="718">
        <f ca="1">tertiair!L16</f>
        <v>0</v>
      </c>
      <c r="N10" s="718">
        <f>tertiair!M16</f>
        <v>0</v>
      </c>
      <c r="O10" s="718">
        <f ca="1">tertiair!N16</f>
        <v>0</v>
      </c>
      <c r="P10" s="718">
        <f>tertiair!O16</f>
        <v>3.1266666666666669</v>
      </c>
      <c r="Q10" s="719">
        <f>tertiair!P16</f>
        <v>38.133333333333333</v>
      </c>
      <c r="R10" s="721">
        <f ca="1">SUM(C10:Q10)</f>
        <v>76473.756200966585</v>
      </c>
      <c r="S10" s="67"/>
    </row>
    <row r="11" spans="1:19" s="474" customFormat="1">
      <c r="A11" s="870" t="s">
        <v>225</v>
      </c>
      <c r="B11" s="875"/>
      <c r="C11" s="718">
        <f>huishoudens!B8</f>
        <v>19789.054563391059</v>
      </c>
      <c r="D11" s="718">
        <f>huishoudens!C8</f>
        <v>0</v>
      </c>
      <c r="E11" s="718">
        <f>huishoudens!D8</f>
        <v>52852.419654995043</v>
      </c>
      <c r="F11" s="718">
        <f>huishoudens!E8</f>
        <v>9255.9261256087502</v>
      </c>
      <c r="G11" s="718">
        <f>huishoudens!F8</f>
        <v>6298.6201398754265</v>
      </c>
      <c r="H11" s="718">
        <f>huishoudens!G8</f>
        <v>0</v>
      </c>
      <c r="I11" s="718">
        <f>huishoudens!H8</f>
        <v>0</v>
      </c>
      <c r="J11" s="718">
        <f>huishoudens!I8</f>
        <v>0</v>
      </c>
      <c r="K11" s="718">
        <f>huishoudens!J8</f>
        <v>0</v>
      </c>
      <c r="L11" s="718">
        <f>huishoudens!K8</f>
        <v>0</v>
      </c>
      <c r="M11" s="718">
        <f>huishoudens!L8</f>
        <v>0</v>
      </c>
      <c r="N11" s="718">
        <f>huishoudens!M8</f>
        <v>0</v>
      </c>
      <c r="O11" s="718">
        <f>huishoudens!N8</f>
        <v>20830.74116434397</v>
      </c>
      <c r="P11" s="718">
        <f>huishoudens!O8</f>
        <v>317.35666666666668</v>
      </c>
      <c r="Q11" s="719">
        <f>huishoudens!P8</f>
        <v>1029.5999999999999</v>
      </c>
      <c r="R11" s="721">
        <f>SUM(C11:Q11)</f>
        <v>110373.71831488093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73881.594704370276</v>
      </c>
      <c r="D13" s="718">
        <f>industrie!C18</f>
        <v>0</v>
      </c>
      <c r="E13" s="718">
        <f>industrie!D18</f>
        <v>83687.286278120329</v>
      </c>
      <c r="F13" s="718">
        <f>industrie!E18</f>
        <v>3433.1660945846852</v>
      </c>
      <c r="G13" s="718">
        <f>industrie!F18</f>
        <v>13009.095210868942</v>
      </c>
      <c r="H13" s="718">
        <f>industrie!G18</f>
        <v>0</v>
      </c>
      <c r="I13" s="718">
        <f>industrie!H18</f>
        <v>0</v>
      </c>
      <c r="J13" s="718">
        <f>industrie!I18</f>
        <v>0</v>
      </c>
      <c r="K13" s="718">
        <f>industrie!J18</f>
        <v>181.36978305800835</v>
      </c>
      <c r="L13" s="718">
        <f>industrie!K18</f>
        <v>0</v>
      </c>
      <c r="M13" s="718">
        <f>industrie!L18</f>
        <v>0</v>
      </c>
      <c r="N13" s="718">
        <f>industrie!M18</f>
        <v>0</v>
      </c>
      <c r="O13" s="718">
        <f>industrie!N18</f>
        <v>13486.562046827803</v>
      </c>
      <c r="P13" s="718">
        <f>industrie!O18</f>
        <v>0</v>
      </c>
      <c r="Q13" s="719">
        <f>industrie!P18</f>
        <v>0</v>
      </c>
      <c r="R13" s="721">
        <f>SUM(C13:Q13)</f>
        <v>187679.07411783005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115090.25271828831</v>
      </c>
      <c r="D15" s="723">
        <f t="shared" ref="D15:Q15" ca="1" si="0">SUM(D9:D14)</f>
        <v>0</v>
      </c>
      <c r="E15" s="723">
        <f t="shared" ca="1" si="0"/>
        <v>187922.18271030876</v>
      </c>
      <c r="F15" s="723">
        <f t="shared" si="0"/>
        <v>12952.856251806375</v>
      </c>
      <c r="G15" s="723">
        <f t="shared" ca="1" si="0"/>
        <v>22674.328281678223</v>
      </c>
      <c r="H15" s="723">
        <f t="shared" si="0"/>
        <v>0</v>
      </c>
      <c r="I15" s="723">
        <f t="shared" si="0"/>
        <v>0</v>
      </c>
      <c r="J15" s="723">
        <f t="shared" si="0"/>
        <v>0</v>
      </c>
      <c r="K15" s="723">
        <f t="shared" si="0"/>
        <v>181.40879375745479</v>
      </c>
      <c r="L15" s="723">
        <f t="shared" si="0"/>
        <v>0</v>
      </c>
      <c r="M15" s="723">
        <f t="shared" ca="1" si="0"/>
        <v>0</v>
      </c>
      <c r="N15" s="723">
        <f t="shared" si="0"/>
        <v>0</v>
      </c>
      <c r="O15" s="723">
        <f t="shared" ca="1" si="0"/>
        <v>34317.303211171777</v>
      </c>
      <c r="P15" s="723">
        <f t="shared" si="0"/>
        <v>320.48333333333335</v>
      </c>
      <c r="Q15" s="724">
        <f t="shared" si="0"/>
        <v>1067.7333333333333</v>
      </c>
      <c r="R15" s="725">
        <f ca="1">SUM(R9:R14)</f>
        <v>374526.54863367754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622.13868183039824</v>
      </c>
      <c r="I18" s="718">
        <f>transport!H54</f>
        <v>0</v>
      </c>
      <c r="J18" s="718">
        <f>transport!I54</f>
        <v>0</v>
      </c>
      <c r="K18" s="718">
        <f>transport!J54</f>
        <v>0</v>
      </c>
      <c r="L18" s="718">
        <f>transport!K54</f>
        <v>0</v>
      </c>
      <c r="M18" s="718">
        <f>transport!L54</f>
        <v>0</v>
      </c>
      <c r="N18" s="718">
        <f>transport!M54</f>
        <v>35.334730649233883</v>
      </c>
      <c r="O18" s="718">
        <f>transport!N54</f>
        <v>0</v>
      </c>
      <c r="P18" s="718">
        <f>transport!O54</f>
        <v>0</v>
      </c>
      <c r="Q18" s="719">
        <f>transport!P54</f>
        <v>0</v>
      </c>
      <c r="R18" s="721">
        <f>SUM(C18:Q18)</f>
        <v>657.47341247963209</v>
      </c>
      <c r="S18" s="67"/>
    </row>
    <row r="19" spans="1:19" s="474" customFormat="1" ht="15" thickBot="1">
      <c r="A19" s="870" t="s">
        <v>307</v>
      </c>
      <c r="B19" s="875"/>
      <c r="C19" s="727">
        <f>transport!B14</f>
        <v>60.808079895093762</v>
      </c>
      <c r="D19" s="727">
        <f>transport!C14</f>
        <v>0</v>
      </c>
      <c r="E19" s="727">
        <f>transport!D14</f>
        <v>193.29033634411275</v>
      </c>
      <c r="F19" s="727">
        <f>transport!E14</f>
        <v>291.31944583382796</v>
      </c>
      <c r="G19" s="727">
        <f>transport!F14</f>
        <v>0</v>
      </c>
      <c r="H19" s="727">
        <f>transport!G14</f>
        <v>114161.98003482577</v>
      </c>
      <c r="I19" s="727">
        <f>transport!H14</f>
        <v>22351.07023013787</v>
      </c>
      <c r="J19" s="727">
        <f>transport!I14</f>
        <v>0</v>
      </c>
      <c r="K19" s="727">
        <f>transport!J14</f>
        <v>0</v>
      </c>
      <c r="L19" s="727">
        <f>transport!K14</f>
        <v>0</v>
      </c>
      <c r="M19" s="727">
        <f>transport!L14</f>
        <v>0</v>
      </c>
      <c r="N19" s="727">
        <f>transport!M14</f>
        <v>7333.3754741016992</v>
      </c>
      <c r="O19" s="727">
        <f>transport!N14</f>
        <v>0</v>
      </c>
      <c r="P19" s="727">
        <f>transport!O14</f>
        <v>0</v>
      </c>
      <c r="Q19" s="728">
        <f>transport!P14</f>
        <v>0</v>
      </c>
      <c r="R19" s="729">
        <f>SUM(C19:Q19)</f>
        <v>144391.84360113836</v>
      </c>
      <c r="S19" s="67"/>
    </row>
    <row r="20" spans="1:19" s="474" customFormat="1" ht="15.75" thickBot="1">
      <c r="A20" s="730" t="s">
        <v>230</v>
      </c>
      <c r="B20" s="878"/>
      <c r="C20" s="873">
        <f>SUM(C17:C19)</f>
        <v>60.808079895093762</v>
      </c>
      <c r="D20" s="731">
        <f t="shared" ref="D20:R20" si="1">SUM(D17:D19)</f>
        <v>0</v>
      </c>
      <c r="E20" s="731">
        <f t="shared" si="1"/>
        <v>193.29033634411275</v>
      </c>
      <c r="F20" s="731">
        <f t="shared" si="1"/>
        <v>291.31944583382796</v>
      </c>
      <c r="G20" s="731">
        <f t="shared" si="1"/>
        <v>0</v>
      </c>
      <c r="H20" s="731">
        <f t="shared" si="1"/>
        <v>114784.11871665617</v>
      </c>
      <c r="I20" s="731">
        <f t="shared" si="1"/>
        <v>22351.07023013787</v>
      </c>
      <c r="J20" s="731">
        <f t="shared" si="1"/>
        <v>0</v>
      </c>
      <c r="K20" s="731">
        <f t="shared" si="1"/>
        <v>0</v>
      </c>
      <c r="L20" s="731">
        <f t="shared" si="1"/>
        <v>0</v>
      </c>
      <c r="M20" s="731">
        <f t="shared" si="1"/>
        <v>0</v>
      </c>
      <c r="N20" s="731">
        <f t="shared" si="1"/>
        <v>7368.7102047509334</v>
      </c>
      <c r="O20" s="731">
        <f t="shared" si="1"/>
        <v>0</v>
      </c>
      <c r="P20" s="731">
        <f t="shared" si="1"/>
        <v>0</v>
      </c>
      <c r="Q20" s="732">
        <f t="shared" si="1"/>
        <v>0</v>
      </c>
      <c r="R20" s="733">
        <f t="shared" si="1"/>
        <v>145049.31701361798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451.26266626120497</v>
      </c>
      <c r="D22" s="727">
        <f>+landbouw!C8</f>
        <v>9000</v>
      </c>
      <c r="E22" s="727">
        <f>+landbouw!D8</f>
        <v>6680.1851484388135</v>
      </c>
      <c r="F22" s="727">
        <f>+landbouw!E8</f>
        <v>13.26398807668679</v>
      </c>
      <c r="G22" s="727">
        <f>+landbouw!F8</f>
        <v>1879.9358826896046</v>
      </c>
      <c r="H22" s="727">
        <f>+landbouw!G8</f>
        <v>0</v>
      </c>
      <c r="I22" s="727">
        <f>+landbouw!H8</f>
        <v>0</v>
      </c>
      <c r="J22" s="727">
        <f>+landbouw!I8</f>
        <v>0</v>
      </c>
      <c r="K22" s="727">
        <f>+landbouw!J8</f>
        <v>65.378269364559131</v>
      </c>
      <c r="L22" s="727">
        <f>+landbouw!K8</f>
        <v>0</v>
      </c>
      <c r="M22" s="727">
        <f>+landbouw!L8</f>
        <v>0</v>
      </c>
      <c r="N22" s="727">
        <f>+landbouw!M8</f>
        <v>0</v>
      </c>
      <c r="O22" s="727">
        <f>+landbouw!N8</f>
        <v>0</v>
      </c>
      <c r="P22" s="727">
        <f>+landbouw!O8</f>
        <v>0</v>
      </c>
      <c r="Q22" s="728">
        <f>+landbouw!P8</f>
        <v>0</v>
      </c>
      <c r="R22" s="729">
        <f>SUM(C22:Q22)</f>
        <v>18090.025954830871</v>
      </c>
      <c r="S22" s="67"/>
    </row>
    <row r="23" spans="1:19" s="474" customFormat="1" ht="17.25" thickTop="1" thickBot="1">
      <c r="A23" s="734" t="s">
        <v>116</v>
      </c>
      <c r="B23" s="864"/>
      <c r="C23" s="735">
        <f ca="1">C20+C15+C22</f>
        <v>115602.32346444461</v>
      </c>
      <c r="D23" s="735">
        <f t="shared" ref="D23:Q23" ca="1" si="2">D20+D15+D22</f>
        <v>9000</v>
      </c>
      <c r="E23" s="735">
        <f t="shared" ca="1" si="2"/>
        <v>194795.65819509167</v>
      </c>
      <c r="F23" s="735">
        <f t="shared" si="2"/>
        <v>13257.43968571689</v>
      </c>
      <c r="G23" s="735">
        <f t="shared" ca="1" si="2"/>
        <v>24554.264164367829</v>
      </c>
      <c r="H23" s="735">
        <f t="shared" si="2"/>
        <v>114784.11871665617</v>
      </c>
      <c r="I23" s="735">
        <f t="shared" si="2"/>
        <v>22351.07023013787</v>
      </c>
      <c r="J23" s="735">
        <f t="shared" si="2"/>
        <v>0</v>
      </c>
      <c r="K23" s="735">
        <f t="shared" si="2"/>
        <v>246.78706312201393</v>
      </c>
      <c r="L23" s="735">
        <f t="shared" si="2"/>
        <v>0</v>
      </c>
      <c r="M23" s="735">
        <f t="shared" ca="1" si="2"/>
        <v>0</v>
      </c>
      <c r="N23" s="735">
        <f t="shared" si="2"/>
        <v>7368.7102047509334</v>
      </c>
      <c r="O23" s="735">
        <f t="shared" ca="1" si="2"/>
        <v>34317.303211171777</v>
      </c>
      <c r="P23" s="735">
        <f t="shared" si="2"/>
        <v>320.48333333333335</v>
      </c>
      <c r="Q23" s="736">
        <f t="shared" si="2"/>
        <v>1067.7333333333333</v>
      </c>
      <c r="R23" s="737">
        <f ca="1">R20+R15+R22</f>
        <v>537665.89160212642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2632.9530536107386</v>
      </c>
      <c r="D36" s="718">
        <f ca="1">tertiair!C20</f>
        <v>0</v>
      </c>
      <c r="E36" s="718">
        <f ca="1">tertiair!D20</f>
        <v>10379.260308993064</v>
      </c>
      <c r="F36" s="718">
        <f>tertiair!E20</f>
        <v>59.874435176137411</v>
      </c>
      <c r="G36" s="718">
        <f ca="1">tertiair!F20</f>
        <v>898.88565255933952</v>
      </c>
      <c r="H36" s="718">
        <f>tertiair!G20</f>
        <v>0</v>
      </c>
      <c r="I36" s="718">
        <f>tertiair!H20</f>
        <v>0</v>
      </c>
      <c r="J36" s="718">
        <f>tertiair!I20</f>
        <v>0</v>
      </c>
      <c r="K36" s="718">
        <f>tertiair!J20</f>
        <v>1.3809787604037027E-2</v>
      </c>
      <c r="L36" s="718">
        <f>tertiair!K20</f>
        <v>0</v>
      </c>
      <c r="M36" s="718">
        <f ca="1">tertiair!L20</f>
        <v>0</v>
      </c>
      <c r="N36" s="718">
        <f>tertiair!M20</f>
        <v>0</v>
      </c>
      <c r="O36" s="718">
        <f ca="1">tertiair!N20</f>
        <v>0</v>
      </c>
      <c r="P36" s="718">
        <f>tertiair!O20</f>
        <v>0</v>
      </c>
      <c r="Q36" s="828">
        <f>tertiair!P20</f>
        <v>0</v>
      </c>
      <c r="R36" s="917">
        <f ca="1">SUM(C36:Q36)</f>
        <v>13970.987260126883</v>
      </c>
    </row>
    <row r="37" spans="1:18">
      <c r="A37" s="885" t="s">
        <v>225</v>
      </c>
      <c r="B37" s="892"/>
      <c r="C37" s="718">
        <f ca="1">huishoudens!B12</f>
        <v>2432.5217673190937</v>
      </c>
      <c r="D37" s="718">
        <f ca="1">huishoudens!C12</f>
        <v>0</v>
      </c>
      <c r="E37" s="718">
        <f>huishoudens!D12</f>
        <v>10676.188770309</v>
      </c>
      <c r="F37" s="718">
        <f>huishoudens!E12</f>
        <v>2101.0952305131864</v>
      </c>
      <c r="G37" s="718">
        <f>huishoudens!F12</f>
        <v>1681.731577346739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16891.537345488017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9081.7167008624965</v>
      </c>
      <c r="D39" s="718">
        <f ca="1">industrie!C22</f>
        <v>0</v>
      </c>
      <c r="E39" s="718">
        <f>industrie!D22</f>
        <v>16904.831828180308</v>
      </c>
      <c r="F39" s="718">
        <f>industrie!E22</f>
        <v>779.32870347072355</v>
      </c>
      <c r="G39" s="718">
        <f>industrie!F22</f>
        <v>3473.4284213020078</v>
      </c>
      <c r="H39" s="718">
        <f>industrie!G22</f>
        <v>0</v>
      </c>
      <c r="I39" s="718">
        <f>industrie!H22</f>
        <v>0</v>
      </c>
      <c r="J39" s="718">
        <f>industrie!I22</f>
        <v>0</v>
      </c>
      <c r="K39" s="718">
        <f>industrie!J22</f>
        <v>64.20490320253495</v>
      </c>
      <c r="L39" s="718">
        <f>industrie!K22</f>
        <v>0</v>
      </c>
      <c r="M39" s="718">
        <f>industrie!L22</f>
        <v>0</v>
      </c>
      <c r="N39" s="718">
        <f>industrie!M22</f>
        <v>0</v>
      </c>
      <c r="O39" s="718">
        <f>industrie!N22</f>
        <v>0</v>
      </c>
      <c r="P39" s="718">
        <f>industrie!O22</f>
        <v>0</v>
      </c>
      <c r="Q39" s="828">
        <f>industrie!P22</f>
        <v>0</v>
      </c>
      <c r="R39" s="918">
        <f ca="1">SUM(C39:Q39)</f>
        <v>30303.510557018071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14147.191521792329</v>
      </c>
      <c r="D41" s="763">
        <f t="shared" ref="D41:R41" ca="1" si="4">SUM(D35:D40)</f>
        <v>0</v>
      </c>
      <c r="E41" s="763">
        <f t="shared" ca="1" si="4"/>
        <v>37960.280907482374</v>
      </c>
      <c r="F41" s="763">
        <f t="shared" si="4"/>
        <v>2940.2983691600475</v>
      </c>
      <c r="G41" s="763">
        <f t="shared" ca="1" si="4"/>
        <v>6054.0456512080864</v>
      </c>
      <c r="H41" s="763">
        <f t="shared" si="4"/>
        <v>0</v>
      </c>
      <c r="I41" s="763">
        <f t="shared" si="4"/>
        <v>0</v>
      </c>
      <c r="J41" s="763">
        <f t="shared" si="4"/>
        <v>0</v>
      </c>
      <c r="K41" s="763">
        <f t="shared" si="4"/>
        <v>64.218712990138982</v>
      </c>
      <c r="L41" s="763">
        <f t="shared" si="4"/>
        <v>0</v>
      </c>
      <c r="M41" s="763">
        <f t="shared" ca="1" si="4"/>
        <v>0</v>
      </c>
      <c r="N41" s="763">
        <f t="shared" si="4"/>
        <v>0</v>
      </c>
      <c r="O41" s="763">
        <f t="shared" ca="1" si="4"/>
        <v>0</v>
      </c>
      <c r="P41" s="763">
        <f t="shared" si="4"/>
        <v>0</v>
      </c>
      <c r="Q41" s="764">
        <f t="shared" si="4"/>
        <v>0</v>
      </c>
      <c r="R41" s="765">
        <f t="shared" ca="1" si="4"/>
        <v>61166.035162632972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166.11102804871635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166.11102804871635</v>
      </c>
    </row>
    <row r="45" spans="1:18" ht="15" thickBot="1">
      <c r="A45" s="888" t="s">
        <v>307</v>
      </c>
      <c r="B45" s="898"/>
      <c r="C45" s="727">
        <f ca="1">transport!B18</f>
        <v>7.4746864485044417</v>
      </c>
      <c r="D45" s="727">
        <f>transport!C18</f>
        <v>0</v>
      </c>
      <c r="E45" s="727">
        <f>transport!D18</f>
        <v>39.044647941510775</v>
      </c>
      <c r="F45" s="727">
        <f>transport!E18</f>
        <v>66.129514204278948</v>
      </c>
      <c r="G45" s="727">
        <f>transport!F18</f>
        <v>0</v>
      </c>
      <c r="H45" s="727">
        <f>transport!G18</f>
        <v>30481.248669298482</v>
      </c>
      <c r="I45" s="727">
        <f>transport!H18</f>
        <v>5565.4164873043292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36159.314005197106</v>
      </c>
    </row>
    <row r="46" spans="1:18" ht="15.75" thickBot="1">
      <c r="A46" s="886" t="s">
        <v>230</v>
      </c>
      <c r="B46" s="899"/>
      <c r="C46" s="763">
        <f t="shared" ref="C46:R46" ca="1" si="5">SUM(C43:C45)</f>
        <v>7.4746864485044417</v>
      </c>
      <c r="D46" s="763">
        <f t="shared" ca="1" si="5"/>
        <v>0</v>
      </c>
      <c r="E46" s="763">
        <f t="shared" si="5"/>
        <v>39.044647941510775</v>
      </c>
      <c r="F46" s="763">
        <f t="shared" si="5"/>
        <v>66.129514204278948</v>
      </c>
      <c r="G46" s="763">
        <f t="shared" si="5"/>
        <v>0</v>
      </c>
      <c r="H46" s="763">
        <f t="shared" si="5"/>
        <v>30647.359697347198</v>
      </c>
      <c r="I46" s="763">
        <f t="shared" si="5"/>
        <v>5565.4164873043292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36325.425033245825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55.470374036440546</v>
      </c>
      <c r="D48" s="718">
        <f ca="1">+landbouw!C12</f>
        <v>2138.8235294117649</v>
      </c>
      <c r="E48" s="718">
        <f>+landbouw!D12</f>
        <v>1349.3973999846405</v>
      </c>
      <c r="F48" s="718">
        <f>+landbouw!E12</f>
        <v>3.0109252934079014</v>
      </c>
      <c r="G48" s="718">
        <f>+landbouw!F12</f>
        <v>501.94288067812442</v>
      </c>
      <c r="H48" s="718">
        <f>+landbouw!G12</f>
        <v>0</v>
      </c>
      <c r="I48" s="718">
        <f>+landbouw!H12</f>
        <v>0</v>
      </c>
      <c r="J48" s="718">
        <f>+landbouw!I12</f>
        <v>0</v>
      </c>
      <c r="K48" s="718">
        <f>+landbouw!J12</f>
        <v>23.14390735505393</v>
      </c>
      <c r="L48" s="718">
        <f>+landbouw!K12</f>
        <v>0</v>
      </c>
      <c r="M48" s="718">
        <f>+landbouw!L12</f>
        <v>0</v>
      </c>
      <c r="N48" s="718">
        <f>+landbouw!M12</f>
        <v>0</v>
      </c>
      <c r="O48" s="718">
        <f>+landbouw!N12</f>
        <v>0</v>
      </c>
      <c r="P48" s="718">
        <f>+landbouw!O12</f>
        <v>0</v>
      </c>
      <c r="Q48" s="719">
        <f>+landbouw!P12</f>
        <v>0</v>
      </c>
      <c r="R48" s="761">
        <f ca="1">SUM(C48:Q48)</f>
        <v>4071.7890167594328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14210.136582277273</v>
      </c>
      <c r="D53" s="773">
        <f t="shared" ref="D53:Q53" ca="1" si="6">D41+D46+D48</f>
        <v>2138.8235294117649</v>
      </c>
      <c r="E53" s="773">
        <f t="shared" ca="1" si="6"/>
        <v>39348.722955408528</v>
      </c>
      <c r="F53" s="773">
        <f t="shared" si="6"/>
        <v>3009.4388086577346</v>
      </c>
      <c r="G53" s="773">
        <f t="shared" ca="1" si="6"/>
        <v>6555.9885318862107</v>
      </c>
      <c r="H53" s="773">
        <f t="shared" si="6"/>
        <v>30647.359697347198</v>
      </c>
      <c r="I53" s="773">
        <f t="shared" si="6"/>
        <v>5565.4164873043292</v>
      </c>
      <c r="J53" s="773">
        <f t="shared" si="6"/>
        <v>0</v>
      </c>
      <c r="K53" s="773">
        <f t="shared" si="6"/>
        <v>87.362620345192909</v>
      </c>
      <c r="L53" s="773">
        <f t="shared" si="6"/>
        <v>0</v>
      </c>
      <c r="M53" s="773">
        <f t="shared" ca="1" si="6"/>
        <v>0</v>
      </c>
      <c r="N53" s="773">
        <f t="shared" si="6"/>
        <v>0</v>
      </c>
      <c r="O53" s="773">
        <f t="shared" ca="1" si="6"/>
        <v>0</v>
      </c>
      <c r="P53" s="773">
        <f>P41+P46+P48</f>
        <v>0</v>
      </c>
      <c r="Q53" s="774">
        <f t="shared" si="6"/>
        <v>0</v>
      </c>
      <c r="R53" s="775">
        <f ca="1">R41+R46+R48</f>
        <v>101563.24921263823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0.1229225862977385</v>
      </c>
      <c r="D55" s="836">
        <f t="shared" ca="1" si="7"/>
        <v>0.23764705882352943</v>
      </c>
      <c r="E55" s="836">
        <f t="shared" ca="1" si="7"/>
        <v>0.20200000000000004</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39614.131571063946</v>
      </c>
      <c r="C64" s="795">
        <f>'lokale energieproductie'!B4</f>
        <v>39614.131571063946</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2374.7337055290104</v>
      </c>
      <c r="C65" s="795">
        <f>'lokale energieproductie'!B5</f>
        <v>2374.7337055290104</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8753.7518001184453</v>
      </c>
      <c r="C66" s="795">
        <f>'lokale energieproductie'!B6</f>
        <v>8753.7518001184453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6300</v>
      </c>
      <c r="C67" s="794">
        <f>B67*IFERROR(SUM(J67:L67)/SUM(D67:M67),0)</f>
        <v>0</v>
      </c>
      <c r="D67" s="826">
        <f>'lokale energieproductie'!C7</f>
        <v>7411.7647058823522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1497.1764705882354</v>
      </c>
      <c r="P67" s="922">
        <v>0</v>
      </c>
      <c r="Q67" s="785"/>
      <c r="R67" s="742"/>
    </row>
    <row r="68" spans="1:18" ht="30.75" thickBot="1">
      <c r="A68" s="801" t="s">
        <v>353</v>
      </c>
      <c r="B68" s="794">
        <f>'lokale energieproductie'!B8</f>
        <v>1035</v>
      </c>
      <c r="C68" s="794">
        <f>B68*IFERROR(SUM(J68:L68)/SUM(D68:M68),0)</f>
        <v>1035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2957.1428571428573</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58077.617076711402</v>
      </c>
      <c r="C69" s="803">
        <f>SUM(C64:C68)</f>
        <v>51777.617076711402</v>
      </c>
      <c r="D69" s="804">
        <f t="shared" ref="D69:M69" si="8">SUM(D67:D68)</f>
        <v>7411.7647058823522</v>
      </c>
      <c r="E69" s="804">
        <f t="shared" si="8"/>
        <v>0</v>
      </c>
      <c r="F69" s="804">
        <f t="shared" si="8"/>
        <v>0</v>
      </c>
      <c r="G69" s="804">
        <f t="shared" si="8"/>
        <v>0</v>
      </c>
      <c r="H69" s="804">
        <f t="shared" si="8"/>
        <v>0</v>
      </c>
      <c r="I69" s="804">
        <f t="shared" si="8"/>
        <v>0</v>
      </c>
      <c r="J69" s="804">
        <f t="shared" si="8"/>
        <v>0</v>
      </c>
      <c r="K69" s="804">
        <f t="shared" si="8"/>
        <v>2957.1428571428573</v>
      </c>
      <c r="L69" s="804">
        <f t="shared" si="8"/>
        <v>0</v>
      </c>
      <c r="M69" s="930">
        <f t="shared" si="8"/>
        <v>0</v>
      </c>
      <c r="N69" s="805">
        <v>0</v>
      </c>
      <c r="O69" s="805">
        <f>SUM(O67:O68)</f>
        <v>1497.1764705882354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9000</v>
      </c>
      <c r="C78" s="817">
        <f>B78*IFERROR(SUM(I78:L78)/SUM(D78:M78),0)</f>
        <v>0</v>
      </c>
      <c r="D78" s="832">
        <f>'lokale energieproductie'!C16</f>
        <v>10588.235294117647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2138.8235294117649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9000</v>
      </c>
      <c r="C81" s="803">
        <f>SUM(C78:C80)</f>
        <v>0</v>
      </c>
      <c r="D81" s="803">
        <f t="shared" ref="D81:P81" si="9">SUM(D78:D80)</f>
        <v>10588.235294117647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2138.8235294117649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19789.054563391059</v>
      </c>
      <c r="C4" s="478">
        <f>huishoudens!C8</f>
        <v>0</v>
      </c>
      <c r="D4" s="478">
        <f>huishoudens!D8</f>
        <v>52852.419654995043</v>
      </c>
      <c r="E4" s="478">
        <f>huishoudens!E8</f>
        <v>9255.9261256087502</v>
      </c>
      <c r="F4" s="478">
        <f>huishoudens!F8</f>
        <v>6298.6201398754265</v>
      </c>
      <c r="G4" s="478">
        <f>huishoudens!G8</f>
        <v>0</v>
      </c>
      <c r="H4" s="478">
        <f>huishoudens!H8</f>
        <v>0</v>
      </c>
      <c r="I4" s="478">
        <f>huishoudens!I8</f>
        <v>0</v>
      </c>
      <c r="J4" s="478">
        <f>huishoudens!J8</f>
        <v>0</v>
      </c>
      <c r="K4" s="478">
        <f>huishoudens!K8</f>
        <v>0</v>
      </c>
      <c r="L4" s="478">
        <f>huishoudens!L8</f>
        <v>0</v>
      </c>
      <c r="M4" s="478">
        <f>huishoudens!M8</f>
        <v>0</v>
      </c>
      <c r="N4" s="478">
        <f>huishoudens!N8</f>
        <v>20830.74116434397</v>
      </c>
      <c r="O4" s="478">
        <f>huishoudens!O8</f>
        <v>317.35666666666668</v>
      </c>
      <c r="P4" s="479">
        <f>huishoudens!P8</f>
        <v>1029.5999999999999</v>
      </c>
      <c r="Q4" s="480">
        <f>SUM(B4:P4)</f>
        <v>110373.71831488093</v>
      </c>
    </row>
    <row r="5" spans="1:17">
      <c r="A5" s="477" t="s">
        <v>156</v>
      </c>
      <c r="B5" s="478">
        <f ca="1">tertiair!B16</f>
        <v>20820.347450526962</v>
      </c>
      <c r="C5" s="478">
        <f ca="1">tertiair!C16</f>
        <v>0</v>
      </c>
      <c r="D5" s="478">
        <f ca="1">tertiair!D16</f>
        <v>51382.476777193384</v>
      </c>
      <c r="E5" s="478">
        <f>tertiair!E16</f>
        <v>263.76403161294013</v>
      </c>
      <c r="F5" s="478">
        <f ca="1">tertiair!F16</f>
        <v>3366.6129309338558</v>
      </c>
      <c r="G5" s="478">
        <f>tertiair!G16</f>
        <v>0</v>
      </c>
      <c r="H5" s="478">
        <f>tertiair!H16</f>
        <v>0</v>
      </c>
      <c r="I5" s="478">
        <f>tertiair!I16</f>
        <v>0</v>
      </c>
      <c r="J5" s="478">
        <f>tertiair!J16</f>
        <v>3.9010699446432283E-2</v>
      </c>
      <c r="K5" s="478">
        <f>tertiair!K16</f>
        <v>0</v>
      </c>
      <c r="L5" s="478">
        <f ca="1">tertiair!L16</f>
        <v>0</v>
      </c>
      <c r="M5" s="478">
        <f>tertiair!M16</f>
        <v>0</v>
      </c>
      <c r="N5" s="478">
        <f ca="1">tertiair!N16</f>
        <v>0</v>
      </c>
      <c r="O5" s="478">
        <f>tertiair!O16</f>
        <v>3.1266666666666669</v>
      </c>
      <c r="P5" s="479">
        <f>tertiair!P16</f>
        <v>38.133333333333333</v>
      </c>
      <c r="Q5" s="477">
        <f t="shared" ref="Q5:Q13" ca="1" si="0">SUM(B5:P5)</f>
        <v>75874.500200966591</v>
      </c>
    </row>
    <row r="6" spans="1:17">
      <c r="A6" s="477" t="s">
        <v>194</v>
      </c>
      <c r="B6" s="478">
        <f>'openbare verlichting'!B8</f>
        <v>599.25599999999997</v>
      </c>
      <c r="C6" s="478"/>
      <c r="D6" s="478"/>
      <c r="E6" s="478"/>
      <c r="F6" s="478"/>
      <c r="G6" s="478"/>
      <c r="H6" s="478"/>
      <c r="I6" s="478"/>
      <c r="J6" s="478"/>
      <c r="K6" s="478"/>
      <c r="L6" s="478"/>
      <c r="M6" s="478"/>
      <c r="N6" s="478"/>
      <c r="O6" s="478"/>
      <c r="P6" s="479"/>
      <c r="Q6" s="477">
        <f t="shared" si="0"/>
        <v>599.25599999999997</v>
      </c>
    </row>
    <row r="7" spans="1:17">
      <c r="A7" s="477" t="s">
        <v>112</v>
      </c>
      <c r="B7" s="478">
        <f>landbouw!B8</f>
        <v>451.26266626120497</v>
      </c>
      <c r="C7" s="478">
        <f>landbouw!C8</f>
        <v>9000</v>
      </c>
      <c r="D7" s="478">
        <f>landbouw!D8</f>
        <v>6680.1851484388135</v>
      </c>
      <c r="E7" s="478">
        <f>landbouw!E8</f>
        <v>13.26398807668679</v>
      </c>
      <c r="F7" s="478">
        <f>landbouw!F8</f>
        <v>1879.9358826896046</v>
      </c>
      <c r="G7" s="478">
        <f>landbouw!G8</f>
        <v>0</v>
      </c>
      <c r="H7" s="478">
        <f>landbouw!H8</f>
        <v>0</v>
      </c>
      <c r="I7" s="478">
        <f>landbouw!I8</f>
        <v>0</v>
      </c>
      <c r="J7" s="478">
        <f>landbouw!J8</f>
        <v>65.378269364559131</v>
      </c>
      <c r="K7" s="478">
        <f>landbouw!K8</f>
        <v>0</v>
      </c>
      <c r="L7" s="478">
        <f>landbouw!L8</f>
        <v>0</v>
      </c>
      <c r="M7" s="478">
        <f>landbouw!M8</f>
        <v>0</v>
      </c>
      <c r="N7" s="478">
        <f>landbouw!N8</f>
        <v>0</v>
      </c>
      <c r="O7" s="478">
        <f>landbouw!O8</f>
        <v>0</v>
      </c>
      <c r="P7" s="479">
        <f>landbouw!P8</f>
        <v>0</v>
      </c>
      <c r="Q7" s="477">
        <f t="shared" si="0"/>
        <v>18090.025954830871</v>
      </c>
    </row>
    <row r="8" spans="1:17">
      <c r="A8" s="477" t="s">
        <v>635</v>
      </c>
      <c r="B8" s="478">
        <f>industrie!B18</f>
        <v>73881.594704370276</v>
      </c>
      <c r="C8" s="478">
        <f>industrie!C18</f>
        <v>0</v>
      </c>
      <c r="D8" s="478">
        <f>industrie!D18</f>
        <v>83687.286278120329</v>
      </c>
      <c r="E8" s="478">
        <f>industrie!E18</f>
        <v>3433.1660945846852</v>
      </c>
      <c r="F8" s="478">
        <f>industrie!F18</f>
        <v>13009.095210868942</v>
      </c>
      <c r="G8" s="478">
        <f>industrie!G18</f>
        <v>0</v>
      </c>
      <c r="H8" s="478">
        <f>industrie!H18</f>
        <v>0</v>
      </c>
      <c r="I8" s="478">
        <f>industrie!I18</f>
        <v>0</v>
      </c>
      <c r="J8" s="478">
        <f>industrie!J18</f>
        <v>181.36978305800835</v>
      </c>
      <c r="K8" s="478">
        <f>industrie!K18</f>
        <v>0</v>
      </c>
      <c r="L8" s="478">
        <f>industrie!L18</f>
        <v>0</v>
      </c>
      <c r="M8" s="478">
        <f>industrie!M18</f>
        <v>0</v>
      </c>
      <c r="N8" s="478">
        <f>industrie!N18</f>
        <v>13486.562046827803</v>
      </c>
      <c r="O8" s="478">
        <f>industrie!O18</f>
        <v>0</v>
      </c>
      <c r="P8" s="479">
        <f>industrie!P18</f>
        <v>0</v>
      </c>
      <c r="Q8" s="477">
        <f t="shared" si="0"/>
        <v>187679.07411783005</v>
      </c>
    </row>
    <row r="9" spans="1:17" s="483" customFormat="1">
      <c r="A9" s="481" t="s">
        <v>561</v>
      </c>
      <c r="B9" s="482">
        <f>transport!B14</f>
        <v>60.808079895093762</v>
      </c>
      <c r="C9" s="482"/>
      <c r="D9" s="482">
        <f>transport!D14</f>
        <v>193.29033634411275</v>
      </c>
      <c r="E9" s="482">
        <f>transport!E14</f>
        <v>291.31944583382796</v>
      </c>
      <c r="F9" s="482"/>
      <c r="G9" s="482">
        <f>transport!G14</f>
        <v>114161.98003482577</v>
      </c>
      <c r="H9" s="482">
        <f>transport!H14</f>
        <v>22351.07023013787</v>
      </c>
      <c r="I9" s="482"/>
      <c r="J9" s="482"/>
      <c r="K9" s="482"/>
      <c r="L9" s="482"/>
      <c r="M9" s="482">
        <f>transport!M14</f>
        <v>7333.3754741016992</v>
      </c>
      <c r="N9" s="482"/>
      <c r="O9" s="482"/>
      <c r="P9" s="482"/>
      <c r="Q9" s="481">
        <f>SUM(B9:P9)</f>
        <v>144391.84360113836</v>
      </c>
    </row>
    <row r="10" spans="1:17">
      <c r="A10" s="477" t="s">
        <v>551</v>
      </c>
      <c r="B10" s="478">
        <f>transport!B54</f>
        <v>0</v>
      </c>
      <c r="C10" s="478"/>
      <c r="D10" s="478">
        <f>transport!D54</f>
        <v>0</v>
      </c>
      <c r="E10" s="478"/>
      <c r="F10" s="478"/>
      <c r="G10" s="478">
        <f>transport!G54</f>
        <v>622.13868183039824</v>
      </c>
      <c r="H10" s="478"/>
      <c r="I10" s="478"/>
      <c r="J10" s="478"/>
      <c r="K10" s="478"/>
      <c r="L10" s="478"/>
      <c r="M10" s="478">
        <f>transport!M54</f>
        <v>35.334730649233883</v>
      </c>
      <c r="N10" s="478"/>
      <c r="O10" s="478"/>
      <c r="P10" s="479"/>
      <c r="Q10" s="477">
        <f t="shared" si="0"/>
        <v>657.47341247963209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115602.32346444461</v>
      </c>
      <c r="C14" s="488">
        <f t="shared" ref="C14:Q14" ca="1" si="1">SUM(C4:C13)</f>
        <v>9000</v>
      </c>
      <c r="D14" s="488">
        <f t="shared" ca="1" si="1"/>
        <v>194795.65819509167</v>
      </c>
      <c r="E14" s="488">
        <f t="shared" si="1"/>
        <v>13257.43968571689</v>
      </c>
      <c r="F14" s="488">
        <f t="shared" ca="1" si="1"/>
        <v>24554.264164367829</v>
      </c>
      <c r="G14" s="488">
        <f t="shared" si="1"/>
        <v>114784.11871665617</v>
      </c>
      <c r="H14" s="488">
        <f t="shared" si="1"/>
        <v>22351.07023013787</v>
      </c>
      <c r="I14" s="488">
        <f t="shared" si="1"/>
        <v>0</v>
      </c>
      <c r="J14" s="488">
        <f t="shared" si="1"/>
        <v>246.78706312201393</v>
      </c>
      <c r="K14" s="488">
        <f t="shared" si="1"/>
        <v>0</v>
      </c>
      <c r="L14" s="488">
        <f t="shared" ca="1" si="1"/>
        <v>0</v>
      </c>
      <c r="M14" s="488">
        <f t="shared" si="1"/>
        <v>7368.7102047509334</v>
      </c>
      <c r="N14" s="488">
        <f t="shared" ca="1" si="1"/>
        <v>34317.303211171777</v>
      </c>
      <c r="O14" s="488">
        <f t="shared" si="1"/>
        <v>320.48333333333335</v>
      </c>
      <c r="P14" s="489">
        <f t="shared" si="1"/>
        <v>1067.7333333333333</v>
      </c>
      <c r="Q14" s="489">
        <f t="shared" ca="1" si="1"/>
        <v>537665.89160212642</v>
      </c>
    </row>
    <row r="16" spans="1:17">
      <c r="A16" s="491" t="s">
        <v>556</v>
      </c>
      <c r="B16" s="841">
        <f ca="1">huishoudens!B10</f>
        <v>0.12292258629773853</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2432.5217673190937</v>
      </c>
      <c r="C21" s="478">
        <f t="shared" ref="C21:C28" ca="1" si="3">C4*$C$16</f>
        <v>0</v>
      </c>
      <c r="D21" s="478">
        <f t="shared" ref="D21:D30" si="4">D4*$D$16</f>
        <v>10676.188770309</v>
      </c>
      <c r="E21" s="478">
        <f t="shared" ref="E21:E30" si="5">E4*$E$16</f>
        <v>2101.0952305131864</v>
      </c>
      <c r="F21" s="478">
        <f t="shared" ref="F21:F28" si="6">F4*$F$16</f>
        <v>1681.731577346739</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16891.537345488017</v>
      </c>
    </row>
    <row r="22" spans="1:17">
      <c r="A22" s="477" t="s">
        <v>156</v>
      </c>
      <c r="B22" s="478">
        <f t="shared" ca="1" si="2"/>
        <v>2559.2909562363011</v>
      </c>
      <c r="C22" s="478">
        <f t="shared" ca="1" si="3"/>
        <v>0</v>
      </c>
      <c r="D22" s="478">
        <f t="shared" ca="1" si="4"/>
        <v>10379.260308993064</v>
      </c>
      <c r="E22" s="478">
        <f t="shared" si="5"/>
        <v>59.874435176137411</v>
      </c>
      <c r="F22" s="478">
        <f t="shared" ca="1" si="6"/>
        <v>898.88565255933952</v>
      </c>
      <c r="G22" s="478">
        <f t="shared" si="7"/>
        <v>0</v>
      </c>
      <c r="H22" s="478">
        <f t="shared" si="8"/>
        <v>0</v>
      </c>
      <c r="I22" s="478">
        <f t="shared" si="9"/>
        <v>0</v>
      </c>
      <c r="J22" s="478">
        <f t="shared" si="10"/>
        <v>1.3809787604037027E-2</v>
      </c>
      <c r="K22" s="478">
        <f t="shared" si="11"/>
        <v>0</v>
      </c>
      <c r="L22" s="478">
        <f t="shared" ca="1" si="12"/>
        <v>0</v>
      </c>
      <c r="M22" s="478">
        <f t="shared" si="13"/>
        <v>0</v>
      </c>
      <c r="N22" s="478">
        <f t="shared" ca="1" si="14"/>
        <v>0</v>
      </c>
      <c r="O22" s="478">
        <f t="shared" si="15"/>
        <v>0</v>
      </c>
      <c r="P22" s="479">
        <f t="shared" si="16"/>
        <v>0</v>
      </c>
      <c r="Q22" s="477">
        <f t="shared" ref="Q22:Q30" ca="1" si="17">SUM(B22:P22)</f>
        <v>13897.325162752448</v>
      </c>
    </row>
    <row r="23" spans="1:17">
      <c r="A23" s="477" t="s">
        <v>194</v>
      </c>
      <c r="B23" s="478">
        <f t="shared" ca="1" si="2"/>
        <v>73.662097374437593</v>
      </c>
      <c r="C23" s="478"/>
      <c r="D23" s="478"/>
      <c r="E23" s="478"/>
      <c r="F23" s="478"/>
      <c r="G23" s="478"/>
      <c r="H23" s="478"/>
      <c r="I23" s="478"/>
      <c r="J23" s="478"/>
      <c r="K23" s="478"/>
      <c r="L23" s="478"/>
      <c r="M23" s="478"/>
      <c r="N23" s="478"/>
      <c r="O23" s="478"/>
      <c r="P23" s="479"/>
      <c r="Q23" s="477">
        <f t="shared" ca="1" si="17"/>
        <v>73.662097374437593</v>
      </c>
    </row>
    <row r="24" spans="1:17">
      <c r="A24" s="477" t="s">
        <v>112</v>
      </c>
      <c r="B24" s="478">
        <f t="shared" ca="1" si="2"/>
        <v>55.470374036440546</v>
      </c>
      <c r="C24" s="478">
        <f t="shared" ca="1" si="3"/>
        <v>2138.8235294117649</v>
      </c>
      <c r="D24" s="478">
        <f t="shared" si="4"/>
        <v>1349.3973999846405</v>
      </c>
      <c r="E24" s="478">
        <f t="shared" si="5"/>
        <v>3.0109252934079014</v>
      </c>
      <c r="F24" s="478">
        <f t="shared" si="6"/>
        <v>501.94288067812442</v>
      </c>
      <c r="G24" s="478">
        <f t="shared" si="7"/>
        <v>0</v>
      </c>
      <c r="H24" s="478">
        <f t="shared" si="8"/>
        <v>0</v>
      </c>
      <c r="I24" s="478">
        <f t="shared" si="9"/>
        <v>0</v>
      </c>
      <c r="J24" s="478">
        <f t="shared" si="10"/>
        <v>23.14390735505393</v>
      </c>
      <c r="K24" s="478">
        <f t="shared" si="11"/>
        <v>0</v>
      </c>
      <c r="L24" s="478">
        <f t="shared" si="12"/>
        <v>0</v>
      </c>
      <c r="M24" s="478">
        <f t="shared" si="13"/>
        <v>0</v>
      </c>
      <c r="N24" s="478">
        <f t="shared" si="14"/>
        <v>0</v>
      </c>
      <c r="O24" s="478">
        <f t="shared" si="15"/>
        <v>0</v>
      </c>
      <c r="P24" s="479">
        <f t="shared" si="16"/>
        <v>0</v>
      </c>
      <c r="Q24" s="477">
        <f t="shared" ca="1" si="17"/>
        <v>4071.7890167594328</v>
      </c>
    </row>
    <row r="25" spans="1:17">
      <c r="A25" s="477" t="s">
        <v>635</v>
      </c>
      <c r="B25" s="478">
        <f t="shared" ca="1" si="2"/>
        <v>9081.7167008624965</v>
      </c>
      <c r="C25" s="478">
        <f t="shared" ca="1" si="3"/>
        <v>0</v>
      </c>
      <c r="D25" s="478">
        <f t="shared" si="4"/>
        <v>16904.831828180308</v>
      </c>
      <c r="E25" s="478">
        <f t="shared" si="5"/>
        <v>779.32870347072355</v>
      </c>
      <c r="F25" s="478">
        <f t="shared" si="6"/>
        <v>3473.4284213020078</v>
      </c>
      <c r="G25" s="478">
        <f t="shared" si="7"/>
        <v>0</v>
      </c>
      <c r="H25" s="478">
        <f t="shared" si="8"/>
        <v>0</v>
      </c>
      <c r="I25" s="478">
        <f t="shared" si="9"/>
        <v>0</v>
      </c>
      <c r="J25" s="478">
        <f t="shared" si="10"/>
        <v>64.20490320253495</v>
      </c>
      <c r="K25" s="478">
        <f t="shared" si="11"/>
        <v>0</v>
      </c>
      <c r="L25" s="478">
        <f t="shared" si="12"/>
        <v>0</v>
      </c>
      <c r="M25" s="478">
        <f t="shared" si="13"/>
        <v>0</v>
      </c>
      <c r="N25" s="478">
        <f t="shared" si="14"/>
        <v>0</v>
      </c>
      <c r="O25" s="478">
        <f t="shared" si="15"/>
        <v>0</v>
      </c>
      <c r="P25" s="479">
        <f t="shared" si="16"/>
        <v>0</v>
      </c>
      <c r="Q25" s="477">
        <f t="shared" ca="1" si="17"/>
        <v>30303.510557018071</v>
      </c>
    </row>
    <row r="26" spans="1:17" s="483" customFormat="1">
      <c r="A26" s="481" t="s">
        <v>561</v>
      </c>
      <c r="B26" s="835">
        <f t="shared" ca="1" si="2"/>
        <v>7.4746864485044417</v>
      </c>
      <c r="C26" s="482"/>
      <c r="D26" s="482">
        <f t="shared" si="4"/>
        <v>39.044647941510775</v>
      </c>
      <c r="E26" s="482">
        <f t="shared" si="5"/>
        <v>66.129514204278948</v>
      </c>
      <c r="F26" s="482"/>
      <c r="G26" s="482">
        <f t="shared" si="7"/>
        <v>30481.248669298482</v>
      </c>
      <c r="H26" s="482">
        <f t="shared" si="8"/>
        <v>5565.4164873043292</v>
      </c>
      <c r="I26" s="482"/>
      <c r="J26" s="482"/>
      <c r="K26" s="482"/>
      <c r="L26" s="482"/>
      <c r="M26" s="482">
        <f t="shared" si="13"/>
        <v>0</v>
      </c>
      <c r="N26" s="482"/>
      <c r="O26" s="482"/>
      <c r="P26" s="493"/>
      <c r="Q26" s="481">
        <f t="shared" ca="1" si="17"/>
        <v>36159.314005197106</v>
      </c>
    </row>
    <row r="27" spans="1:17">
      <c r="A27" s="477" t="s">
        <v>551</v>
      </c>
      <c r="B27" s="478">
        <f t="shared" ca="1" si="2"/>
        <v>0</v>
      </c>
      <c r="C27" s="478"/>
      <c r="D27" s="482">
        <f t="shared" si="4"/>
        <v>0</v>
      </c>
      <c r="E27" s="478"/>
      <c r="F27" s="478"/>
      <c r="G27" s="478">
        <f t="shared" si="7"/>
        <v>166.11102804871635</v>
      </c>
      <c r="H27" s="478"/>
      <c r="I27" s="478"/>
      <c r="J27" s="478"/>
      <c r="K27" s="478"/>
      <c r="L27" s="478"/>
      <c r="M27" s="478">
        <f t="shared" si="13"/>
        <v>0</v>
      </c>
      <c r="N27" s="478"/>
      <c r="O27" s="478"/>
      <c r="P27" s="479"/>
      <c r="Q27" s="477">
        <f t="shared" ca="1" si="17"/>
        <v>166.11102804871635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14210.136582277273</v>
      </c>
      <c r="C31" s="488">
        <f t="shared" ca="1" si="18"/>
        <v>2138.8235294117649</v>
      </c>
      <c r="D31" s="488">
        <f t="shared" ca="1" si="18"/>
        <v>39348.722955408521</v>
      </c>
      <c r="E31" s="488">
        <f t="shared" si="18"/>
        <v>3009.4388086577346</v>
      </c>
      <c r="F31" s="488">
        <f t="shared" ca="1" si="18"/>
        <v>6555.9885318862107</v>
      </c>
      <c r="G31" s="488">
        <f t="shared" si="18"/>
        <v>30647.359697347198</v>
      </c>
      <c r="H31" s="488">
        <f t="shared" si="18"/>
        <v>5565.4164873043292</v>
      </c>
      <c r="I31" s="488">
        <f t="shared" si="18"/>
        <v>0</v>
      </c>
      <c r="J31" s="488">
        <f t="shared" si="18"/>
        <v>87.362620345192909</v>
      </c>
      <c r="K31" s="488">
        <f t="shared" si="18"/>
        <v>0</v>
      </c>
      <c r="L31" s="488">
        <f t="shared" ca="1" si="18"/>
        <v>0</v>
      </c>
      <c r="M31" s="488">
        <f t="shared" si="18"/>
        <v>0</v>
      </c>
      <c r="N31" s="488">
        <f t="shared" ca="1" si="18"/>
        <v>0</v>
      </c>
      <c r="O31" s="488">
        <f t="shared" si="18"/>
        <v>0</v>
      </c>
      <c r="P31" s="489">
        <f t="shared" si="18"/>
        <v>0</v>
      </c>
      <c r="Q31" s="489">
        <f t="shared" ca="1" si="18"/>
        <v>101563.24921263823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0.12292258629773853</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0.12292258629773853</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0.12292258629773853</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2019-01-01T21:17:46Z</dcterms:modified>
</cp:coreProperties>
</file>