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B22" i="6"/>
  <c r="C17" i="49" s="1"/>
  <c r="J5" i="48"/>
  <c r="J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56"/>
  <c r="C58" s="1"/>
  <c r="D44" i="14" s="1"/>
  <c r="D46" s="1"/>
  <c r="Q4" i="48"/>
  <c r="N22"/>
  <c r="R11" i="14"/>
  <c r="J21" i="48"/>
  <c r="R10" i="14"/>
  <c r="C10" i="13" l="1"/>
  <c r="C16" i="48" s="1"/>
  <c r="C20" i="16"/>
  <c r="C22" s="1"/>
  <c r="D39" i="14" s="1"/>
  <c r="C17" i="19"/>
  <c r="C19" s="1"/>
  <c r="D35" i="14" s="1"/>
  <c r="Q5" i="48"/>
  <c r="C18" i="15"/>
  <c r="C20" s="1"/>
  <c r="D36" i="14" s="1"/>
  <c r="C29" i="20"/>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F25" i="48"/>
  <c r="F31" s="1"/>
  <c r="F14"/>
  <c r="K55" i="14" l="1"/>
  <c r="E14" i="48"/>
  <c r="N25"/>
  <c r="N31" s="1"/>
  <c r="C12" i="13"/>
  <c r="D37" i="14" s="1"/>
  <c r="D41" s="1"/>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<sst xmlns="http://schemas.openxmlformats.org/spreadsheetml/2006/main" count="2117" uniqueCount="854">
  <si>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</si>
  <si>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</si>
  <si>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</si>
  <si>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</si>
  <si>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</si>
  <si>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</si>
  <si>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</si>
  <si>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</si>
  <si>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</si>
  <si>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</si>
  <si>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</si>
  <si>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</si>
  <si>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</si>
  <si>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</si>
  <si>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</si>
  <si>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</si>
  <si>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</si>
  <si>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</si>
  <si>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</si>
  <si>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</si>
  <si>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</si>
  <si>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</si>
  <si>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</si>
  <si>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</si>
  <si>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</si>
  <si>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</si>
  <si>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</si>
  <si>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</si>
  <si>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</si>
  <si>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</si>
  <si>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</si>
  <si>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</si>
  <si>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</si>
  <si>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</si>
  <si>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</si>
  <si>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</si>
  <si>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</si>
  <si>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</si>
  <si>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</si>
  <si>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</si>
  <si>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</si>
  <si>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</si>
  <si>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</si>
  <si>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</si>
  <si>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</si>
  <si>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</si>
  <si>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</si>
  <si>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</si>
  <si>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</si>
  <si>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</si>
  <si>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</si>
  <si>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</si>
  <si>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</si>
  <si>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</si>
  <si>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</si>
  <si>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</si>
  <si>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</si>
  <si>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</si>
  <si>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</si>
  <si>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</si>
  <si>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</si>
  <si>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</si>
  <si>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</si>
  <si>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</si>
  <si>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</si>
  <si>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</si>
  <si>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</si>
  <si>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</si>
  <si>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</si>
  <si>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</si>
  <si>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</si>
  <si>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</si>
  <si>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</si>
  <si>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</si>
  <si>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</si>
  <si>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</si>
  <si>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</si>
  <si>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</si>
  <si>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</si>
  <si>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</si>
  <si>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</si>
  <si>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</si>
  <si>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</si>
  <si>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</si>
  <si>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</si>
  <si>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</si>
  <si>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</si>
  <si>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</si>
  <si>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</si>
  <si>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</si>
  <si>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</si>
  <si>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</si>
  <si>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</si>
  <si>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</si>
  <si>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</si>
  <si>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</si>
  <si>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</si>
  <si>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</si>
  <si>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</si>
  <si>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</si>
  <si>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</si>
  <si>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</si>
  <si>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</si>
  <si>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</si>
  <si>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</si>
  <si>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</si>
  <si>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</si>
  <si>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</si>
  <si>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</si>
  <si>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</si>
  <si>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</si>
  <si>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</si>
  <si>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</si>
  <si>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</si>
  <si>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</si>
  <si>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</si>
  <si>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</si>
  <si>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</si>
  <si>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</si>
  <si>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</si>
  <si>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</si>
  <si>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</si>
  <si>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</si>
  <si>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</si>
  <si>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</si>
  <si>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</si>
  <si>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</si>
  <si>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</si>
  <si>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</si>
  <si>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</si>
  <si>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</si>
  <si>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</si>
  <si>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</si>
  <si>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</si>
  <si>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</si>
  <si>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</si>
  <si>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</si>
  <si>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</si>
  <si>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</si>
  <si>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</si>
  <si>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</si>
  <si>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</si>
  <si>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</si>
  <si>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</si>
  <si>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</si>
  <si>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</si>
  <si>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</si>
  <si>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</si>
  <si>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</si>
  <si>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</si>
  <si>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</si>
  <si>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</si>
  <si>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</si>
  <si>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</si>
  <si>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</si>
  <si>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</si>
  <si>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</si>
  <si>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</si>
  <si>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</si>
  <si>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</si>
  <si>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</si>
  <si>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</si>
  <si>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</si>
  <si>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</si>
  <si>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</si>
  <si>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</si>
  <si>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</si>
  <si>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</si>
  <si>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</si>
  <si>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</si>
  <si>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</si>
  <si>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</si>
  <si>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</si>
  <si>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</si>
  <si>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</si>
  <si>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</si>
  <si>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</si>
  <si>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</si>
  <si>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</si>
  <si>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</si>
  <si>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</si>
  <si>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</si>
  <si>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</si>
  <si>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</si>
  <si>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</si>
  <si>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</si>
  <si>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</si>
  <si>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</si>
  <si>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</si>
  <si>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</si>
  <si>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</si>
  <si>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</si>
  <si>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</si>
  <si>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</si>
  <si>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</si>
  <si>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</si>
  <si>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</si>
  <si>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</si>
  <si>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</si>
  <si>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</si>
  <si>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</si>
  <si>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</si>
  <si>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</si>
  <si>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</si>
  <si>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</si>
  <si>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</si>
  <si>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</si>
  <si>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</si>
  <si>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</si>
  <si>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</si>
  <si>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</si>
  <si>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</si>
  <si>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</si>
  <si>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</si>
  <si>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</si>
  <si>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</si>
  <si>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</si>
  <si>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</si>
  <si>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</si>
  <si>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</si>
  <si>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</si>
  <si>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</si>
  <si>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</si>
  <si>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</si>
  <si>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</si>
  <si>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</si>
  <si>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</si>
  <si>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</si>
  <si>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</si>
  <si>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</si>
  <si>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</si>
  <si>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</si>
  <si>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</si>
  <si>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</si>
  <si>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</si>
  <si>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</si>
  <si>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</si>
  <si>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</si>
  <si>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</si>
  <si>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</si>
  <si>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</si>
  <si>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</si>
  <si>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</si>
  <si>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</si>
  <si>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</si>
  <si>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</si>
  <si>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</si>
  <si>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</si>
  <si>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</si>
  <si>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</si>
  <si>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</si>
  <si>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</si>
  <si>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</si>
  <si>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</si>
  <si>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</si>
  <si>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</si>
  <si>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</si>
  <si>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</si>
  <si>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</si>
  <si>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</si>
  <si>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</si>
  <si>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</si>
  <si>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</si>
  <si>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</si>
  <si>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</si>
  <si>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</si>
  <si>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</si>
  <si>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</si>
  <si>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</si>
  <si>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</si>
  <si>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</si>
  <si>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</si>
  <si>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</si>
  <si>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</si>
  <si>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</si>
  <si>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</si>
  <si>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</si>
  <si>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</si>
  <si>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</si>
  <si>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</si>
  <si>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</si>
  <si>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</si>
  <si>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</si>
  <si>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</si>
  <si>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</si>
  <si>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</si>
  <si>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</si>
  <si>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</si>
  <si>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</si>
  <si>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</si>
  <si>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</si>
  <si>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</si>
  <si>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</si>
  <si>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</si>
  <si>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</si>
  <si>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</si>
  <si>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</si>
  <si>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</si>
  <si>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</si>
  <si>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</si>
  <si>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</si>
  <si>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</si>
  <si>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</si>
  <si>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</si>
  <si>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</si>
  <si>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</si>
  <si>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</si>
  <si>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</si>
  <si>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</si>
  <si>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</si>
  <si>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</si>
  <si>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</si>
  <si>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</si>
  <si>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</si>
  <si>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</si>
  <si>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</si>
  <si>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</si>
  <si>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</si>
  <si>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</si>
  <si>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</si>
  <si>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</si>
  <si>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</si>
  <si>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</si>
  <si>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</si>
  <si>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</si>
  <si>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</si>
  <si>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</si>
  <si>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</si>
  <si>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</si>
  <si>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</si>
  <si>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</si>
  <si>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</si>
  <si>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</si>
  <si>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</si>
  <si>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</si>
  <si>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</si>
  <si>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</si>
  <si>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</si>
  <si>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</si>
  <si>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</si>
  <si>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</si>
  <si>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</si>
  <si>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</si>
  <si>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</si>
  <si>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</si>
  <si>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</si>
  <si>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</si>
  <si>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</si>
  <si>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</si>
  <si>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</si>
  <si>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</si>
  <si>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</si>
  <si>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</si>
  <si>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</si>
  <si>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</si>
  <si>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</si>
  <si>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</si>
  <si>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</si>
  <si>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</si>
  <si>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</si>
  <si>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</si>
  <si>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</si>
  <si>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</si>
  <si>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</si>
  <si>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</si>
  <si>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</si>
  <si>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</si>
  <si>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</si>
  <si>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</si>
  <si>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</si>
  <si>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</si>
  <si>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</si>
  <si>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</si>
  <si>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</si>
  <si>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</si>
  <si>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</si>
  <si>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</si>
  <si>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</si>
  <si>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</si>
  <si>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</si>
  <si>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</si>
  <si>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</si>
  <si>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</si>
  <si>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</si>
  <si>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</si>
  <si>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</si>
  <si>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</si>
  <si>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</si>
  <si>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</si>
  <si>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</si>
  <si>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</si>
  <si>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</si>
  <si>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</si>
  <si>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</si>
  <si>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</si>
  <si>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</si>
  <si>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</si>
  <si>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</si>
  <si>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</si>
  <si>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</si>
  <si>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</si>
  <si>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</si>
  <si>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</si>
  <si>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</si>
  <si>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</si>
  <si>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</si>
  <si>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</si>
  <si>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</si>
  <si>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</si>
  <si>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</si>
  <si>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</si>
  <si>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</si>
  <si>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</si>
  <si>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</si>
  <si>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</si>
  <si>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</si>
  <si>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</si>
  <si>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</si>
  <si>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</si>
  <si>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</si>
  <si>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</si>
  <si>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</si>
  <si>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</si>
  <si>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</si>
  <si>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</si>
  <si>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</si>
  <si>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</si>
  <si>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</si>
  <si>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</si>
  <si>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</si>
  <si>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</si>
  <si>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</si>
  <si>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</si>
  <si>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</si>
  <si>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</si>
  <si>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</si>
  <si>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</si>
  <si>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</si>
  <si>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</si>
  <si>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</si>
  <si>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</si>
  <si>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</si>
  <si>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</si>
  <si>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</si>
  <si>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</si>
  <si>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</si>
  <si>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</si>
  <si>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</si>
  <si>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</si>
  <si>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</si>
  <si>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</si>
  <si>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</si>
  <si>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</si>
  <si>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</si>
  <si>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</si>
  <si>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</si>
  <si>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</si>
  <si>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</si>
  <si>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</si>
  <si>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</si>
  <si>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</si>
  <si>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</si>
  <si>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</si>
  <si>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</si>
  <si>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</si>
  <si>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</si>
  <si>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</si>
  <si>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</si>
  <si>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</si>
  <si>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</si>
  <si>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</si>
  <si>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</si>
  <si>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</si>
  <si>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</si>
  <si>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</si>
  <si>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</si>
  <si>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</si>
  <si>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</si>
  <si>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</si>
  <si>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</si>
  <si>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</si>
  <si>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</si>
  <si>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</si>
  <si>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</si>
  <si>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</si>
  <si>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</si>
  <si>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</si>
  <si>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</si>
  <si>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</si>
  <si>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</si>
  <si>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</si>
  <si>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</si>
  <si>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</si>
  <si>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</si>
  <si>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</si>
  <si>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</si>
  <si>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</si>
  <si>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</si>
  <si>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</si>
  <si>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</si>
  <si>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</si>
  <si>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</si>
  <si>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</si>
  <si>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</si>
  <si>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</si>
  <si>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</si>
  <si>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</si>
  <si>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</si>
  <si>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</si>
  <si>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</si>
  <si>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</si>
  <si>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</si>
  <si>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</si>
  <si>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</si>
  <si>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</si>
  <si>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</si>
  <si>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</si>
  <si>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</si>
  <si>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</si>
  <si>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</si>
  <si>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</si>
  <si>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</si>
  <si>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</si>
  <si>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</si>
  <si>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</si>
  <si>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</si>
  <si>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</si>
  <si>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</si>
  <si>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</si>
  <si>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</si>
  <si>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</si>
  <si>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</si>
  <si>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</si>
  <si>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</si>
  <si>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</si>
  <si>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</si>
  <si>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</si>
  <si>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</si>
  <si>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</si>
  <si>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</si>
  <si>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</si>
  <si>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</si>
  <si>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</si>
  <si>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</si>
  <si>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</si>
  <si>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</si>
  <si>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</si>
  <si>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</si>
  <si>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</si>
  <si>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</si>
  <si>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</si>
  <si>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</si>
  <si>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</si>
  <si>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</si>
  <si>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</si>
  <si>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</si>
  <si>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</si>
  <si>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</si>
  <si>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</si>
  <si>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</si>
  <si>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</si>
  <si>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</si>
  <si>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</si>
  <si>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</si>
  <si>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</si>
  <si>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</si>
  <si>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</si>
  <si>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</si>
  <si>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</si>
  <si>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</si>
  <si>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</si>
  <si>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</si>
  <si>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</si>
  <si>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</si>
  <si>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</si>
  <si>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</si>
  <si>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</si>
  <si>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</si>
  <si>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</si>
  <si>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</si>
  <si>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</si>
  <si>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</si>
  <si>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</si>
  <si>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</si>
  <si>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</si>
  <si>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</si>
  <si>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</si>
  <si>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</si>
  <si>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</si>
  <si>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</si>
  <si>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</si>
  <si>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</si>
  <si>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</si>
  <si>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</si>
  <si>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</si>
  <si>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</si>
  <si>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</si>
  <si>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</si>
  <si>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</si>
  <si>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</si>
  <si>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</si>
  <si>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</si>
  <si>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</si>
  <si>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</si>
  <si>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</si>
  <si>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</si>
  <si>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</si>
  <si>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</si>
  <si>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</si>
  <si>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</si>
  <si>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</si>
  <si>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</si>
  <si>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</si>
  <si>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</si>
  <si>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</si>
  <si>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</si>
  <si>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</si>
  <si>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</si>
  <si>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</si>
  <si>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</si>
  <si>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</si>
  <si>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</si>
  <si>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</si>
  <si>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</si>
  <si>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</si>
  <si>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</si>
  <si>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</si>
  <si>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</si>
  <si>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</si>
  <si>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</si>
  <si>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</si>
  <si>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</si>
  <si>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</si>
  <si>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</si>
  <si>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</si>
  <si>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</si>
  <si>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</si>
  <si>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</si>
  <si>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</si>
  <si>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</si>
  <si>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</si>
  <si>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</si>
  <si>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</si>
  <si>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</si>
  <si>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</si>
  <si>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</si>
  <si>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</si>
  <si>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</si>
  <si>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</si>
  <si>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</si>
  <si>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</si>
  <si>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</si>
  <si>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</si>
  <si>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</si>
  <si>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</si>
  <si>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</si>
  <si>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</si>
  <si>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</si>
  <si>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</si>
  <si>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</si>
  <si>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</si>
  <si>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</si>
  <si>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</si>
  <si>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</si>
  <si>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</si>
  <si>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</si>
  <si>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</si>
  <si>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</si>
  <si>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</si>
  <si>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</si>
  <si>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</si>
  <si>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</si>
  <si>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</si>
  <si>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</si>
  <si>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</si>
  <si>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</si>
  <si>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</si>
  <si>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</si>
  <si>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</si>
  <si>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</si>
  <si>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</si>
  <si>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</si>
  <si>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</si>
  <si>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</si>
  <si>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</si>
  <si>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</si>
  <si>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</si>
  <si>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</si>
  <si>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</si>
  <si>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</si>
  <si>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</si>
  <si>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</si>
  <si>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</si>
  <si>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</si>
  <si>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</si>
  <si>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</si>
  <si>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</si>
  <si>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</si>
  <si>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</si>
  <si>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</si>
  <si>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</si>
  <si>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</si>
  <si>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</si>
  <si>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</si>
  <si>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</si>
  <si>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</si>
  <si>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</si>
  <si>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</si>
  <si>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</si>
  <si>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</si>
  <si>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</si>
  <si>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</si>
  <si>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</si>
  <si>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</si>
  <si>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</si>
  <si>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</si>
  <si>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</si>
  <si>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</si>
  <si>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</si>
  <si>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</si>
  <si>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</si>
  <si>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</si>
  <si>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</si>
  <si>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</si>
  <si>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</si>
  <si>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</si>
  <si>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</si>
  <si>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</si>
  <si>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</si>
  <si>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</si>
  <si>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</si>
  <si>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</si>
  <si>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</si>
  <si>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</si>
  <si>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</si>
  <si>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</si>
  <si>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</si>
  <si>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</si>
  <si>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</si>
  <si>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</si>
  <si>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</si>
  <si>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</si>
  <si>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</si>
  <si>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</si>
  <si>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</si>
  <si>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</si>
  <si>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</si>
  <si>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</si>
  <si>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</si>
  <si>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</si>
  <si>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</si>
  <si>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</si>
  <si>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</si>
  <si>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</si>
  <si>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</si>
  <si>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</si>
  <si>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</si>
  <si>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</si>
  <si>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</si>
  <si>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</si>
  <si>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</si>
  <si>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</si>
  <si>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</si>
  <si>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</si>
  <si>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</si>
  <si>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</si>
  <si>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</si>
  <si>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</si>
  <si>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</si>
  <si>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</si>
  <si>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</si>
  <si>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</si>
  <si>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</si>
  <si>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</si>
  <si>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</si>
  <si>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</si>
  <si>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</si>
  <si>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</si>
  <si>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</si>
  <si>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</si>
  <si>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</si>
  <si>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</si>
  <si>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</si>
  <si>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</si>
  <si>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</si>
  <si>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</si>
  <si>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</si>
  <si>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</si>
  <si>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</si>
  <si>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</si>
  <si>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</si>
  <si>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</si>
  <si>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</si>
  <si>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</si>
  <si>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</si>
  <si>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</si>
  <si>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</si>
  <si>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</si>
  <si>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</si>
  <si>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</si>
  <si>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</si>
  <si>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</si>
  <si>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</si>
  <si>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</si>
  <si>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</si>
  <si>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</si>
  <si>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</si>
  <si>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</si>
  <si>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</si>
  <si>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</si>
  <si>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</si>
  <si>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</si>
  <si>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</si>
  <si>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</si>
  <si>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</si>
  <si>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</si>
  <si>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</si>
  <si>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</si>
  <si>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</si>
  <si>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</si>
  <si>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</si>
  <si>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</si>
  <si>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</si>
  <si>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</si>
  <si>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</si>
  <si>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</si>
  <si>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</si>
  <si>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</si>
  <si>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</si>
  <si>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</si>
  <si>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</si>
  <si>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</si>
  <si>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</si>
  <si>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</si>
  <si>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</si>
  <si>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</si>
  <si>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13012</t>
  </si>
  <si>
    <t>HERENTHOUT</t>
  </si>
  <si>
    <t>Eandis (januari 2018); Infrax (juni 2018)</t>
  </si>
  <si>
    <t>MOW (september 2017)</t>
  </si>
  <si>
    <t>referentietaak LNE (2017); Jaarverslag De Lijn (2016)</t>
  </si>
  <si>
    <t>VEA (april 2018)</t>
  </si>
  <si>
    <t>VEA (januari 2017)</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</si>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</sst>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74860.95955614085</c:v>
                </c:pt>
                <c:pt idx="1">
                  <c:v>23176.999417555016</c:v>
                </c:pt>
                <c:pt idx="2">
                  <c:v>430.339</c:v>
                </c:pt>
                <c:pt idx="3">
                  <c:v>27811.866652333938</c:v>
                </c:pt>
                <c:pt idx="4">
                  <c:v>9059.4349906533862</c:v>
                </c:pt>
                <c:pt idx="5">
                  <c:v>41078.665375458375</c:v>
                </c:pt>
                <c:pt idx="6">
                  <c:v>456.89851195916464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74860.95955614085</c:v>
                </c:pt>
                <c:pt idx="1">
                  <c:v>23176.999417555016</c:v>
                </c:pt>
                <c:pt idx="2">
                  <c:v>430.339</c:v>
                </c:pt>
                <c:pt idx="3">
                  <c:v>27811.866652333938</c:v>
                </c:pt>
                <c:pt idx="4">
                  <c:v>9059.4349906533862</c:v>
                </c:pt>
                <c:pt idx="5">
                  <c:v>41078.665375458375</c:v>
                </c:pt>
                <c:pt idx="6">
                  <c:v>456.89851195916464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13684.284027782147</c:v>
                </c:pt>
                <c:pt idx="1">
                  <c:v>4635.2091520057911</c:v>
                </c:pt>
                <c:pt idx="2">
                  <c:v>89.846376142719606</c:v>
                </c:pt>
                <c:pt idx="3">
                  <c:v>6535.3059666806921</c:v>
                </c:pt>
                <c:pt idx="4">
                  <c:v>1752.9582703116375</c:v>
                </c:pt>
                <c:pt idx="5">
                  <c:v>10269.736305370863</c:v>
                </c:pt>
                <c:pt idx="6">
                  <c:v>115.4356664389326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13684.284027782147</c:v>
                </c:pt>
                <c:pt idx="1">
                  <c:v>4635.2091520057911</c:v>
                </c:pt>
                <c:pt idx="2">
                  <c:v>89.846376142719606</c:v>
                </c:pt>
                <c:pt idx="3">
                  <c:v>6535.3059666806921</c:v>
                </c:pt>
                <c:pt idx="4">
                  <c:v>1752.9582703116375</c:v>
                </c:pt>
                <c:pt idx="5">
                  <c:v>10269.736305370863</c:v>
                </c:pt>
                <c:pt idx="6">
                  <c:v>115.4356664389326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13012</v>
      </c>
      <c r="B6" s="415"/>
      <c r="C6" s="416"/>
    </row>
    <row r="7" spans="1:7" s="413" customFormat="1" ht="15.75" customHeight="1">
      <c r="A7" s="417" t="str">
        <f>txtMunicipality</f>
        <v>HERENTHOUT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9328.3171643909009</v>
      </c>
      <c r="D10" s="718">
        <f ca="1">tertiair!C16</f>
        <v>35.357142857142861</v>
      </c>
      <c r="E10" s="718">
        <f ca="1">tertiair!D16</f>
        <v>11393.610100724869</v>
      </c>
      <c r="F10" s="718">
        <f>tertiair!E16</f>
        <v>162.18678967285575</v>
      </c>
      <c r="G10" s="718">
        <f ca="1">tertiair!F16</f>
        <v>1613.2867545283175</v>
      </c>
      <c r="H10" s="718">
        <f>tertiair!G16</f>
        <v>0</v>
      </c>
      <c r="I10" s="718">
        <f>tertiair!H16</f>
        <v>0</v>
      </c>
      <c r="J10" s="718">
        <f>tertiair!I16</f>
        <v>0</v>
      </c>
      <c r="K10" s="718">
        <f>tertiair!J16</f>
        <v>2.6596535468873465E-2</v>
      </c>
      <c r="L10" s="718">
        <f>tertiair!K16</f>
        <v>0</v>
      </c>
      <c r="M10" s="718">
        <f ca="1">tertiair!L16</f>
        <v>0</v>
      </c>
      <c r="N10" s="718">
        <f>tertiair!M16</f>
        <v>0</v>
      </c>
      <c r="O10" s="718">
        <f ca="1">tertiair!N16</f>
        <v>1052.3605355121279</v>
      </c>
      <c r="P10" s="718">
        <f>tertiair!O16</f>
        <v>3.1266666666666669</v>
      </c>
      <c r="Q10" s="719">
        <f>tertiair!P16</f>
        <v>19.066666666666666</v>
      </c>
      <c r="R10" s="721">
        <f ca="1">SUM(C10:Q10)</f>
        <v>23607.338417555016</v>
      </c>
      <c r="S10" s="67"/>
    </row>
    <row r="11" spans="1:19" s="474" customFormat="1">
      <c r="A11" s="870" t="s">
        <v>225</v>
      </c>
      <c r="B11" s="875"/>
      <c r="C11" s="718">
        <f>huishoudens!B8</f>
        <v>14836.361644169621</v>
      </c>
      <c r="D11" s="718">
        <f>huishoudens!C8</f>
        <v>0</v>
      </c>
      <c r="E11" s="718">
        <f>huishoudens!D8</f>
        <v>44457.183405048439</v>
      </c>
      <c r="F11" s="718">
        <f>huishoudens!E8</f>
        <v>3139.9752702319961</v>
      </c>
      <c r="G11" s="718">
        <f>huishoudens!F8</f>
        <v>2692.3818107153493</v>
      </c>
      <c r="H11" s="718">
        <f>huishoudens!G8</f>
        <v>0</v>
      </c>
      <c r="I11" s="718">
        <f>huishoudens!H8</f>
        <v>0</v>
      </c>
      <c r="J11" s="718">
        <f>huishoudens!I8</f>
        <v>0</v>
      </c>
      <c r="K11" s="718">
        <f>huishoudens!J8</f>
        <v>493.64457754559282</v>
      </c>
      <c r="L11" s="718">
        <f>huishoudens!K8</f>
        <v>0</v>
      </c>
      <c r="M11" s="718">
        <f>huishoudens!L8</f>
        <v>0</v>
      </c>
      <c r="N11" s="718">
        <f>huishoudens!M8</f>
        <v>0</v>
      </c>
      <c r="O11" s="718">
        <f>huishoudens!N8</f>
        <v>8774.709515096527</v>
      </c>
      <c r="P11" s="718">
        <f>huishoudens!O8</f>
        <v>123.50333333333334</v>
      </c>
      <c r="Q11" s="719">
        <f>huishoudens!P8</f>
        <v>343.2</v>
      </c>
      <c r="R11" s="721">
        <f>SUM(C11:Q11)</f>
        <v>74860.95955614085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4441.3966594809281</v>
      </c>
      <c r="D13" s="718">
        <f>industrie!C18</f>
        <v>0</v>
      </c>
      <c r="E13" s="718">
        <f>industrie!D18</f>
        <v>2141.4313736803792</v>
      </c>
      <c r="F13" s="718">
        <f>industrie!E18</f>
        <v>352.52517886842054</v>
      </c>
      <c r="G13" s="718">
        <f>industrie!F18</f>
        <v>1157.0190634420464</v>
      </c>
      <c r="H13" s="718">
        <f>industrie!G18</f>
        <v>0</v>
      </c>
      <c r="I13" s="718">
        <f>industrie!H18</f>
        <v>0</v>
      </c>
      <c r="J13" s="718">
        <f>industrie!I18</f>
        <v>0</v>
      </c>
      <c r="K13" s="718">
        <f>industrie!J18</f>
        <v>11.765456052999452</v>
      </c>
      <c r="L13" s="718">
        <f>industrie!K18</f>
        <v>0</v>
      </c>
      <c r="M13" s="718">
        <f>industrie!L18</f>
        <v>0</v>
      </c>
      <c r="N13" s="718">
        <f>industrie!M18</f>
        <v>0</v>
      </c>
      <c r="O13" s="718">
        <f>industrie!N18</f>
        <v>955.2972591286134</v>
      </c>
      <c r="P13" s="718">
        <f>industrie!O18</f>
        <v>0</v>
      </c>
      <c r="Q13" s="719">
        <f>industrie!P18</f>
        <v>0</v>
      </c>
      <c r="R13" s="721">
        <f>SUM(C13:Q13)</f>
        <v>9059.4349906533862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28606.07546804145</v>
      </c>
      <c r="D15" s="723">
        <f t="shared" ref="D15:Q15" ca="1" si="0">SUM(D9:D14)</f>
        <v>35.357142857142861</v>
      </c>
      <c r="E15" s="723">
        <f t="shared" ca="1" si="0"/>
        <v>57992.224879453694</v>
      </c>
      <c r="F15" s="723">
        <f t="shared" si="0"/>
        <v>3654.6872387732724</v>
      </c>
      <c r="G15" s="723">
        <f t="shared" ca="1" si="0"/>
        <v>5462.6876286857132</v>
      </c>
      <c r="H15" s="723">
        <f t="shared" si="0"/>
        <v>0</v>
      </c>
      <c r="I15" s="723">
        <f t="shared" si="0"/>
        <v>0</v>
      </c>
      <c r="J15" s="723">
        <f t="shared" si="0"/>
        <v>0</v>
      </c>
      <c r="K15" s="723">
        <f t="shared" si="0"/>
        <v>505.43663013406115</v>
      </c>
      <c r="L15" s="723">
        <f t="shared" si="0"/>
        <v>0</v>
      </c>
      <c r="M15" s="723">
        <f t="shared" ca="1" si="0"/>
        <v>0</v>
      </c>
      <c r="N15" s="723">
        <f t="shared" si="0"/>
        <v>0</v>
      </c>
      <c r="O15" s="723">
        <f t="shared" ca="1" si="0"/>
        <v>10782.367309737267</v>
      </c>
      <c r="P15" s="723">
        <f t="shared" si="0"/>
        <v>126.63000000000001</v>
      </c>
      <c r="Q15" s="724">
        <f t="shared" si="0"/>
        <v>362.26666666666665</v>
      </c>
      <c r="R15" s="725">
        <f ca="1">SUM(R9:R14)</f>
        <v>107527.73296434926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432.34331999600221</v>
      </c>
      <c r="I18" s="718">
        <f>transport!H54</f>
        <v>0</v>
      </c>
      <c r="J18" s="718">
        <f>transport!I54</f>
        <v>0</v>
      </c>
      <c r="K18" s="718">
        <f>transport!J54</f>
        <v>0</v>
      </c>
      <c r="L18" s="718">
        <f>transport!K54</f>
        <v>0</v>
      </c>
      <c r="M18" s="718">
        <f>transport!L54</f>
        <v>0</v>
      </c>
      <c r="N18" s="718">
        <f>transport!M54</f>
        <v>24.555191963162446</v>
      </c>
      <c r="O18" s="718">
        <f>transport!N54</f>
        <v>0</v>
      </c>
      <c r="P18" s="718">
        <f>transport!O54</f>
        <v>0</v>
      </c>
      <c r="Q18" s="719">
        <f>transport!P54</f>
        <v>0</v>
      </c>
      <c r="R18" s="721">
        <f>SUM(C18:Q18)</f>
        <v>456.89851195916464</v>
      </c>
      <c r="S18" s="67"/>
    </row>
    <row r="19" spans="1:19" s="474" customFormat="1" ht="15" thickBot="1">
      <c r="A19" s="870" t="s">
        <v>307</v>
      </c>
      <c r="B19" s="875"/>
      <c r="C19" s="727">
        <f>transport!B14</f>
        <v>20.962141101902198</v>
      </c>
      <c r="D19" s="727">
        <f>transport!C14</f>
        <v>0</v>
      </c>
      <c r="E19" s="727">
        <f>transport!D14</f>
        <v>70.808281732252425</v>
      </c>
      <c r="F19" s="727">
        <f>transport!E14</f>
        <v>95.002811407503529</v>
      </c>
      <c r="G19" s="727">
        <f>transport!F14</f>
        <v>0</v>
      </c>
      <c r="H19" s="727">
        <f>transport!G14</f>
        <v>30854.353072002144</v>
      </c>
      <c r="I19" s="727">
        <f>transport!H14</f>
        <v>7997.5045722850145</v>
      </c>
      <c r="J19" s="727">
        <f>transport!I14</f>
        <v>0</v>
      </c>
      <c r="K19" s="727">
        <f>transport!J14</f>
        <v>0</v>
      </c>
      <c r="L19" s="727">
        <f>transport!K14</f>
        <v>0</v>
      </c>
      <c r="M19" s="727">
        <f>transport!L14</f>
        <v>0</v>
      </c>
      <c r="N19" s="727">
        <f>transport!M14</f>
        <v>2040.034496929562</v>
      </c>
      <c r="O19" s="727">
        <f>transport!N14</f>
        <v>0</v>
      </c>
      <c r="P19" s="727">
        <f>transport!O14</f>
        <v>0</v>
      </c>
      <c r="Q19" s="728">
        <f>transport!P14</f>
        <v>0</v>
      </c>
      <c r="R19" s="729">
        <f>SUM(C19:Q19)</f>
        <v>41078.665375458375</v>
      </c>
      <c r="S19" s="67"/>
    </row>
    <row r="20" spans="1:19" s="474" customFormat="1" ht="15.75" thickBot="1">
      <c r="A20" s="730" t="s">
        <v>230</v>
      </c>
      <c r="B20" s="878"/>
      <c r="C20" s="873">
        <f>SUM(C17:C19)</f>
        <v>20.962141101902198</v>
      </c>
      <c r="D20" s="731">
        <f t="shared" ref="D20:R20" si="1">SUM(D17:D19)</f>
        <v>0</v>
      </c>
      <c r="E20" s="731">
        <f t="shared" si="1"/>
        <v>70.808281732252425</v>
      </c>
      <c r="F20" s="731">
        <f t="shared" si="1"/>
        <v>95.002811407503529</v>
      </c>
      <c r="G20" s="731">
        <f t="shared" si="1"/>
        <v>0</v>
      </c>
      <c r="H20" s="731">
        <f t="shared" si="1"/>
        <v>31286.696391998146</v>
      </c>
      <c r="I20" s="731">
        <f t="shared" si="1"/>
        <v>7997.5045722850145</v>
      </c>
      <c r="J20" s="731">
        <f t="shared" si="1"/>
        <v>0</v>
      </c>
      <c r="K20" s="731">
        <f t="shared" si="1"/>
        <v>0</v>
      </c>
      <c r="L20" s="731">
        <f t="shared" si="1"/>
        <v>0</v>
      </c>
      <c r="M20" s="731">
        <f t="shared" si="1"/>
        <v>0</v>
      </c>
      <c r="N20" s="731">
        <f t="shared" si="1"/>
        <v>2064.5896888927246</v>
      </c>
      <c r="O20" s="731">
        <f t="shared" si="1"/>
        <v>0</v>
      </c>
      <c r="P20" s="731">
        <f t="shared" si="1"/>
        <v>0</v>
      </c>
      <c r="Q20" s="732">
        <f t="shared" si="1"/>
        <v>0</v>
      </c>
      <c r="R20" s="733">
        <f t="shared" si="1"/>
        <v>41535.563887417542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1517.635557825241</v>
      </c>
      <c r="D22" s="727">
        <f>+landbouw!C8</f>
        <v>12947.142857142855</v>
      </c>
      <c r="E22" s="727">
        <f>+landbouw!D8</f>
        <v>6760.2197670162823</v>
      </c>
      <c r="F22" s="727">
        <f>+landbouw!E8</f>
        <v>44.607944438501555</v>
      </c>
      <c r="G22" s="727">
        <f>+landbouw!F8</f>
        <v>6322.3877251788554</v>
      </c>
      <c r="H22" s="727">
        <f>+landbouw!G8</f>
        <v>0</v>
      </c>
      <c r="I22" s="727">
        <f>+landbouw!H8</f>
        <v>0</v>
      </c>
      <c r="J22" s="727">
        <f>+landbouw!I8</f>
        <v>0</v>
      </c>
      <c r="K22" s="727">
        <f>+landbouw!J8</f>
        <v>219.87280073220077</v>
      </c>
      <c r="L22" s="727">
        <f>+landbouw!K8</f>
        <v>0</v>
      </c>
      <c r="M22" s="727">
        <f>+landbouw!L8</f>
        <v>0</v>
      </c>
      <c r="N22" s="727">
        <f>+landbouw!M8</f>
        <v>0</v>
      </c>
      <c r="O22" s="727">
        <f>+landbouw!N8</f>
        <v>0</v>
      </c>
      <c r="P22" s="727">
        <f>+landbouw!O8</f>
        <v>0</v>
      </c>
      <c r="Q22" s="728">
        <f>+landbouw!P8</f>
        <v>0</v>
      </c>
      <c r="R22" s="729">
        <f>SUM(C22:Q22)</f>
        <v>27811.866652333938</v>
      </c>
      <c r="S22" s="67"/>
    </row>
    <row r="23" spans="1:19" s="474" customFormat="1" ht="17.25" thickTop="1" thickBot="1">
      <c r="A23" s="734" t="s">
        <v>116</v>
      </c>
      <c r="B23" s="864"/>
      <c r="C23" s="735">
        <f ca="1">C20+C15+C22</f>
        <v>30144.673166968594</v>
      </c>
      <c r="D23" s="735">
        <f t="shared" ref="D23:Q23" ca="1" si="2">D20+D15+D22</f>
        <v>12982.499999999998</v>
      </c>
      <c r="E23" s="735">
        <f t="shared" ca="1" si="2"/>
        <v>64823.25292820223</v>
      </c>
      <c r="F23" s="735">
        <f t="shared" si="2"/>
        <v>3794.2979946192772</v>
      </c>
      <c r="G23" s="735">
        <f t="shared" ca="1" si="2"/>
        <v>11785.075353864569</v>
      </c>
      <c r="H23" s="735">
        <f t="shared" si="2"/>
        <v>31286.696391998146</v>
      </c>
      <c r="I23" s="735">
        <f t="shared" si="2"/>
        <v>7997.5045722850145</v>
      </c>
      <c r="J23" s="735">
        <f t="shared" si="2"/>
        <v>0</v>
      </c>
      <c r="K23" s="735">
        <f t="shared" si="2"/>
        <v>725.30943086626189</v>
      </c>
      <c r="L23" s="735">
        <f t="shared" si="2"/>
        <v>0</v>
      </c>
      <c r="M23" s="735">
        <f t="shared" ca="1" si="2"/>
        <v>0</v>
      </c>
      <c r="N23" s="735">
        <f t="shared" si="2"/>
        <v>2064.5896888927246</v>
      </c>
      <c r="O23" s="735">
        <f t="shared" ca="1" si="2"/>
        <v>10782.367309737267</v>
      </c>
      <c r="P23" s="735">
        <f t="shared" si="2"/>
        <v>126.63000000000001</v>
      </c>
      <c r="Q23" s="736">
        <f t="shared" si="2"/>
        <v>362.26666666666665</v>
      </c>
      <c r="R23" s="737">
        <f ca="1">R20+R15+R22</f>
        <v>176875.16350410072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1947.5703869053293</v>
      </c>
      <c r="D36" s="718">
        <f ca="1">tertiair!C20</f>
        <v>8.4025210084033635</v>
      </c>
      <c r="E36" s="718">
        <f ca="1">tertiair!D20</f>
        <v>2301.5092403464237</v>
      </c>
      <c r="F36" s="718">
        <f>tertiair!E20</f>
        <v>36.816401255738256</v>
      </c>
      <c r="G36" s="718">
        <f ca="1">tertiair!F20</f>
        <v>430.74756345906081</v>
      </c>
      <c r="H36" s="718">
        <f>tertiair!G20</f>
        <v>0</v>
      </c>
      <c r="I36" s="718">
        <f>tertiair!H20</f>
        <v>0</v>
      </c>
      <c r="J36" s="718">
        <f>tertiair!I20</f>
        <v>0</v>
      </c>
      <c r="K36" s="718">
        <f>tertiair!J20</f>
        <v>9.4151735559812062E-3</v>
      </c>
      <c r="L36" s="718">
        <f>tertiair!K20</f>
        <v>0</v>
      </c>
      <c r="M36" s="718">
        <f ca="1">tertiair!L20</f>
        <v>0</v>
      </c>
      <c r="N36" s="718">
        <f>tertiair!M20</f>
        <v>0</v>
      </c>
      <c r="O36" s="718">
        <f ca="1">tertiair!N20</f>
        <v>0</v>
      </c>
      <c r="P36" s="718">
        <f>tertiair!O20</f>
        <v>0</v>
      </c>
      <c r="Q36" s="828">
        <f>tertiair!P20</f>
        <v>0</v>
      </c>
      <c r="R36" s="917">
        <f ca="1">SUM(C36:Q36)</f>
        <v>4725.0555281485113</v>
      </c>
    </row>
    <row r="37" spans="1:18">
      <c r="A37" s="885" t="s">
        <v>225</v>
      </c>
      <c r="B37" s="892"/>
      <c r="C37" s="718">
        <f ca="1">huishoudens!B12</f>
        <v>3097.5424697075605</v>
      </c>
      <c r="D37" s="718">
        <f ca="1">huishoudens!C12</f>
        <v>0</v>
      </c>
      <c r="E37" s="718">
        <f>huishoudens!D12</f>
        <v>8980.3510478197859</v>
      </c>
      <c r="F37" s="718">
        <f>huishoudens!E12</f>
        <v>712.77438634266309</v>
      </c>
      <c r="G37" s="718">
        <f>huishoudens!F12</f>
        <v>718.86594346099832</v>
      </c>
      <c r="H37" s="718">
        <f>huishoudens!G12</f>
        <v>0</v>
      </c>
      <c r="I37" s="718">
        <f>huishoudens!H12</f>
        <v>0</v>
      </c>
      <c r="J37" s="718">
        <f>huishoudens!I12</f>
        <v>0</v>
      </c>
      <c r="K37" s="718">
        <f>huishoudens!J12</f>
        <v>174.75018045113984</v>
      </c>
      <c r="L37" s="718">
        <f>huishoudens!K12</f>
        <v>0</v>
      </c>
      <c r="M37" s="718">
        <f>huishoudens!L12</f>
        <v>0</v>
      </c>
      <c r="N37" s="718">
        <f>huishoudens!M12</f>
        <v>0</v>
      </c>
      <c r="O37" s="718">
        <f>huishoudens!N12</f>
        <v>0</v>
      </c>
      <c r="P37" s="718">
        <f>huishoudens!O12</f>
        <v>0</v>
      </c>
      <c r="Q37" s="828">
        <f>huishoudens!P12</f>
        <v>0</v>
      </c>
      <c r="R37" s="917">
        <f ca="1">SUM(C37:Q37)</f>
        <v>13684.284027782147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927.27685584328128</v>
      </c>
      <c r="D39" s="718">
        <f ca="1">industrie!C22</f>
        <v>0</v>
      </c>
      <c r="E39" s="718">
        <f>industrie!D22</f>
        <v>432.56913748343663</v>
      </c>
      <c r="F39" s="718">
        <f>industrie!E22</f>
        <v>80.023215603131462</v>
      </c>
      <c r="G39" s="718">
        <f>industrie!F22</f>
        <v>308.92408993902643</v>
      </c>
      <c r="H39" s="718">
        <f>industrie!G22</f>
        <v>0</v>
      </c>
      <c r="I39" s="718">
        <f>industrie!H22</f>
        <v>0</v>
      </c>
      <c r="J39" s="718">
        <f>industrie!I22</f>
        <v>0</v>
      </c>
      <c r="K39" s="718">
        <f>industrie!J22</f>
        <v>4.1649714427618063</v>
      </c>
      <c r="L39" s="718">
        <f>industrie!K22</f>
        <v>0</v>
      </c>
      <c r="M39" s="718">
        <f>industrie!L22</f>
        <v>0</v>
      </c>
      <c r="N39" s="718">
        <f>industrie!M22</f>
        <v>0</v>
      </c>
      <c r="O39" s="718">
        <f>industrie!N22</f>
        <v>0</v>
      </c>
      <c r="P39" s="718">
        <f>industrie!O22</f>
        <v>0</v>
      </c>
      <c r="Q39" s="828">
        <f>industrie!P22</f>
        <v>0</v>
      </c>
      <c r="R39" s="918">
        <f ca="1">SUM(C39:Q39)</f>
        <v>1752.9582703116375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5972.3897124561718</v>
      </c>
      <c r="D41" s="763">
        <f t="shared" ref="D41:R41" ca="1" si="4">SUM(D35:D40)</f>
        <v>8.4025210084033635</v>
      </c>
      <c r="E41" s="763">
        <f t="shared" ca="1" si="4"/>
        <v>11714.429425649647</v>
      </c>
      <c r="F41" s="763">
        <f t="shared" si="4"/>
        <v>829.6140032015328</v>
      </c>
      <c r="G41" s="763">
        <f t="shared" ca="1" si="4"/>
        <v>1458.5375968590856</v>
      </c>
      <c r="H41" s="763">
        <f t="shared" si="4"/>
        <v>0</v>
      </c>
      <c r="I41" s="763">
        <f t="shared" si="4"/>
        <v>0</v>
      </c>
      <c r="J41" s="763">
        <f t="shared" si="4"/>
        <v>0</v>
      </c>
      <c r="K41" s="763">
        <f t="shared" si="4"/>
        <v>178.92456706745764</v>
      </c>
      <c r="L41" s="763">
        <f t="shared" si="4"/>
        <v>0</v>
      </c>
      <c r="M41" s="763">
        <f t="shared" ca="1" si="4"/>
        <v>0</v>
      </c>
      <c r="N41" s="763">
        <f t="shared" si="4"/>
        <v>0</v>
      </c>
      <c r="O41" s="763">
        <f t="shared" ca="1" si="4"/>
        <v>0</v>
      </c>
      <c r="P41" s="763">
        <f t="shared" si="4"/>
        <v>0</v>
      </c>
      <c r="Q41" s="764">
        <f t="shared" si="4"/>
        <v>0</v>
      </c>
      <c r="R41" s="765">
        <f t="shared" ca="1" si="4"/>
        <v>20162.297826242298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115.4356664389326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115.4356664389326</v>
      </c>
    </row>
    <row r="45" spans="1:18" ht="15" thickBot="1">
      <c r="A45" s="888" t="s">
        <v>307</v>
      </c>
      <c r="B45" s="898"/>
      <c r="C45" s="727">
        <f ca="1">transport!B18</f>
        <v>4.3764855479012308</v>
      </c>
      <c r="D45" s="727">
        <f>transport!C18</f>
        <v>0</v>
      </c>
      <c r="E45" s="727">
        <f>transport!D18</f>
        <v>14.303272909914991</v>
      </c>
      <c r="F45" s="727">
        <f>transport!E18</f>
        <v>21.5656381895033</v>
      </c>
      <c r="G45" s="727">
        <f>transport!F18</f>
        <v>0</v>
      </c>
      <c r="H45" s="727">
        <f>transport!G18</f>
        <v>8238.1122702245739</v>
      </c>
      <c r="I45" s="727">
        <f>transport!H18</f>
        <v>1991.3786384989687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10269.736305370863</v>
      </c>
    </row>
    <row r="46" spans="1:18" ht="15.75" thickBot="1">
      <c r="A46" s="886" t="s">
        <v>230</v>
      </c>
      <c r="B46" s="899"/>
      <c r="C46" s="763">
        <f t="shared" ref="C46:R46" ca="1" si="5">SUM(C43:C45)</f>
        <v>4.3764855479012308</v>
      </c>
      <c r="D46" s="763">
        <f t="shared" ca="1" si="5"/>
        <v>0</v>
      </c>
      <c r="E46" s="763">
        <f t="shared" si="5"/>
        <v>14.303272909914991</v>
      </c>
      <c r="F46" s="763">
        <f t="shared" si="5"/>
        <v>21.5656381895033</v>
      </c>
      <c r="G46" s="763">
        <f t="shared" si="5"/>
        <v>0</v>
      </c>
      <c r="H46" s="763">
        <f t="shared" si="5"/>
        <v>8353.5479366635063</v>
      </c>
      <c r="I46" s="763">
        <f t="shared" si="5"/>
        <v>1991.3786384989687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10385.171971809796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316.85265610584378</v>
      </c>
      <c r="D48" s="718">
        <f ca="1">+landbouw!C12</f>
        <v>3076.8504201680671</v>
      </c>
      <c r="E48" s="718">
        <f>+landbouw!D12</f>
        <v>1365.5643929372891</v>
      </c>
      <c r="F48" s="718">
        <f>+landbouw!E12</f>
        <v>10.126003387539853</v>
      </c>
      <c r="G48" s="718">
        <f>+landbouw!F12</f>
        <v>1688.0775226227545</v>
      </c>
      <c r="H48" s="718">
        <f>+landbouw!G12</f>
        <v>0</v>
      </c>
      <c r="I48" s="718">
        <f>+landbouw!H12</f>
        <v>0</v>
      </c>
      <c r="J48" s="718">
        <f>+landbouw!I12</f>
        <v>0</v>
      </c>
      <c r="K48" s="718">
        <f>+landbouw!J12</f>
        <v>77.834971459199068</v>
      </c>
      <c r="L48" s="718">
        <f>+landbouw!K12</f>
        <v>0</v>
      </c>
      <c r="M48" s="718">
        <f>+landbouw!L12</f>
        <v>0</v>
      </c>
      <c r="N48" s="718">
        <f>+landbouw!M12</f>
        <v>0</v>
      </c>
      <c r="O48" s="718">
        <f>+landbouw!N12</f>
        <v>0</v>
      </c>
      <c r="P48" s="718">
        <f>+landbouw!O12</f>
        <v>0</v>
      </c>
      <c r="Q48" s="719">
        <f>+landbouw!P12</f>
        <v>0</v>
      </c>
      <c r="R48" s="761">
        <f ca="1">SUM(C48:Q48)</f>
        <v>6535.3059666806921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6293.6188541099164</v>
      </c>
      <c r="D53" s="773">
        <f t="shared" ref="D53:Q53" ca="1" si="6">D41+D46+D48</f>
        <v>3085.2529411764704</v>
      </c>
      <c r="E53" s="773">
        <f t="shared" ca="1" si="6"/>
        <v>13094.29709149685</v>
      </c>
      <c r="F53" s="773">
        <f t="shared" si="6"/>
        <v>861.30564477857592</v>
      </c>
      <c r="G53" s="773">
        <f t="shared" ca="1" si="6"/>
        <v>3146.6151194818403</v>
      </c>
      <c r="H53" s="773">
        <f t="shared" si="6"/>
        <v>8353.5479366635063</v>
      </c>
      <c r="I53" s="773">
        <f t="shared" si="6"/>
        <v>1991.3786384989687</v>
      </c>
      <c r="J53" s="773">
        <f t="shared" si="6"/>
        <v>0</v>
      </c>
      <c r="K53" s="773">
        <f t="shared" si="6"/>
        <v>256.75953852665668</v>
      </c>
      <c r="L53" s="773">
        <f t="shared" si="6"/>
        <v>0</v>
      </c>
      <c r="M53" s="773">
        <f t="shared" ca="1" si="6"/>
        <v>0</v>
      </c>
      <c r="N53" s="773">
        <f t="shared" si="6"/>
        <v>0</v>
      </c>
      <c r="O53" s="773">
        <f t="shared" ca="1" si="6"/>
        <v>0</v>
      </c>
      <c r="P53" s="773">
        <f>P41+P46+P48</f>
        <v>0</v>
      </c>
      <c r="Q53" s="774">
        <f t="shared" si="6"/>
        <v>0</v>
      </c>
      <c r="R53" s="775">
        <f ca="1">R41+R46+R48</f>
        <v>37082.775764732789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0.20878046410555309</v>
      </c>
      <c r="D55" s="836">
        <f t="shared" ca="1" si="7"/>
        <v>0.23764705882352943</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2351.3041837722781</v>
      </c>
      <c r="C66" s="795">
        <f>'lokale energieproductie'!B6</f>
        <v>2351.3041837722781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9087.7499999999982</v>
      </c>
      <c r="C67" s="794">
        <f>B67*IFERROR(SUM(J67:L67)/SUM(D67:M67),0)</f>
        <v>0</v>
      </c>
      <c r="D67" s="826">
        <f>'lokale energieproductie'!C7</f>
        <v>10691.470588235292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2159.677058823529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11439.054183772276</v>
      </c>
      <c r="C69" s="803">
        <f>SUM(C64:C68)</f>
        <v>2351.3041837722781</v>
      </c>
      <c r="D69" s="804">
        <f t="shared" ref="D69:M69" si="8">SUM(D67:D68)</f>
        <v>10691.470588235292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2159.677058823529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12982.499999999998</v>
      </c>
      <c r="C78" s="817">
        <f>B78*IFERROR(SUM(I78:L78)/SUM(D78:M78),0)</f>
        <v>0</v>
      </c>
      <c r="D78" s="832">
        <f>'lokale energieproductie'!C16</f>
        <v>15273.529411764704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3085.2529411764704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12982.499999999998</v>
      </c>
      <c r="C81" s="803">
        <f>SUM(C78:C80)</f>
        <v>0</v>
      </c>
      <c r="D81" s="803">
        <f t="shared" ref="D81:P81" si="9">SUM(D78:D80)</f>
        <v>15273.529411764704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3085.2529411764704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14836.361644169621</v>
      </c>
      <c r="C4" s="478">
        <f>huishoudens!C8</f>
        <v>0</v>
      </c>
      <c r="D4" s="478">
        <f>huishoudens!D8</f>
        <v>44457.183405048439</v>
      </c>
      <c r="E4" s="478">
        <f>huishoudens!E8</f>
        <v>3139.9752702319961</v>
      </c>
      <c r="F4" s="478">
        <f>huishoudens!F8</f>
        <v>2692.3818107153493</v>
      </c>
      <c r="G4" s="478">
        <f>huishoudens!G8</f>
        <v>0</v>
      </c>
      <c r="H4" s="478">
        <f>huishoudens!H8</f>
        <v>0</v>
      </c>
      <c r="I4" s="478">
        <f>huishoudens!I8</f>
        <v>0</v>
      </c>
      <c r="J4" s="478">
        <f>huishoudens!J8</f>
        <v>493.64457754559282</v>
      </c>
      <c r="K4" s="478">
        <f>huishoudens!K8</f>
        <v>0</v>
      </c>
      <c r="L4" s="478">
        <f>huishoudens!L8</f>
        <v>0</v>
      </c>
      <c r="M4" s="478">
        <f>huishoudens!M8</f>
        <v>0</v>
      </c>
      <c r="N4" s="478">
        <f>huishoudens!N8</f>
        <v>8774.709515096527</v>
      </c>
      <c r="O4" s="478">
        <f>huishoudens!O8</f>
        <v>123.50333333333334</v>
      </c>
      <c r="P4" s="479">
        <f>huishoudens!P8</f>
        <v>343.2</v>
      </c>
      <c r="Q4" s="480">
        <f>SUM(B4:P4)</f>
        <v>74860.95955614085</v>
      </c>
    </row>
    <row r="5" spans="1:17">
      <c r="A5" s="477" t="s">
        <v>156</v>
      </c>
      <c r="B5" s="478">
        <f ca="1">tertiair!B16</f>
        <v>8897.9781643909009</v>
      </c>
      <c r="C5" s="478">
        <f ca="1">tertiair!C16</f>
        <v>35.357142857142861</v>
      </c>
      <c r="D5" s="478">
        <f ca="1">tertiair!D16</f>
        <v>11393.610100724869</v>
      </c>
      <c r="E5" s="478">
        <f>tertiair!E16</f>
        <v>162.18678967285575</v>
      </c>
      <c r="F5" s="478">
        <f ca="1">tertiair!F16</f>
        <v>1613.2867545283175</v>
      </c>
      <c r="G5" s="478">
        <f>tertiair!G16</f>
        <v>0</v>
      </c>
      <c r="H5" s="478">
        <f>tertiair!H16</f>
        <v>0</v>
      </c>
      <c r="I5" s="478">
        <f>tertiair!I16</f>
        <v>0</v>
      </c>
      <c r="J5" s="478">
        <f>tertiair!J16</f>
        <v>2.6596535468873465E-2</v>
      </c>
      <c r="K5" s="478">
        <f>tertiair!K16</f>
        <v>0</v>
      </c>
      <c r="L5" s="478">
        <f ca="1">tertiair!L16</f>
        <v>0</v>
      </c>
      <c r="M5" s="478">
        <f>tertiair!M16</f>
        <v>0</v>
      </c>
      <c r="N5" s="478">
        <f ca="1">tertiair!N16</f>
        <v>1052.3605355121279</v>
      </c>
      <c r="O5" s="478">
        <f>tertiair!O16</f>
        <v>3.1266666666666669</v>
      </c>
      <c r="P5" s="479">
        <f>tertiair!P16</f>
        <v>19.066666666666666</v>
      </c>
      <c r="Q5" s="477">
        <f t="shared" ref="Q5:Q13" ca="1" si="0">SUM(B5:P5)</f>
        <v>23176.999417555016</v>
      </c>
    </row>
    <row r="6" spans="1:17">
      <c r="A6" s="477" t="s">
        <v>194</v>
      </c>
      <c r="B6" s="478">
        <f>'openbare verlichting'!B8</f>
        <v>430.339</v>
      </c>
      <c r="C6" s="478"/>
      <c r="D6" s="478"/>
      <c r="E6" s="478"/>
      <c r="F6" s="478"/>
      <c r="G6" s="478"/>
      <c r="H6" s="478"/>
      <c r="I6" s="478"/>
      <c r="J6" s="478"/>
      <c r="K6" s="478"/>
      <c r="L6" s="478"/>
      <c r="M6" s="478"/>
      <c r="N6" s="478"/>
      <c r="O6" s="478"/>
      <c r="P6" s="479"/>
      <c r="Q6" s="477">
        <f t="shared" si="0"/>
        <v>430.339</v>
      </c>
    </row>
    <row r="7" spans="1:17">
      <c r="A7" s="477" t="s">
        <v>112</v>
      </c>
      <c r="B7" s="478">
        <f>landbouw!B8</f>
        <v>1517.635557825241</v>
      </c>
      <c r="C7" s="478">
        <f>landbouw!C8</f>
        <v>12947.142857142855</v>
      </c>
      <c r="D7" s="478">
        <f>landbouw!D8</f>
        <v>6760.2197670162823</v>
      </c>
      <c r="E7" s="478">
        <f>landbouw!E8</f>
        <v>44.607944438501555</v>
      </c>
      <c r="F7" s="478">
        <f>landbouw!F8</f>
        <v>6322.3877251788554</v>
      </c>
      <c r="G7" s="478">
        <f>landbouw!G8</f>
        <v>0</v>
      </c>
      <c r="H7" s="478">
        <f>landbouw!H8</f>
        <v>0</v>
      </c>
      <c r="I7" s="478">
        <f>landbouw!I8</f>
        <v>0</v>
      </c>
      <c r="J7" s="478">
        <f>landbouw!J8</f>
        <v>219.87280073220077</v>
      </c>
      <c r="K7" s="478">
        <f>landbouw!K8</f>
        <v>0</v>
      </c>
      <c r="L7" s="478">
        <f>landbouw!L8</f>
        <v>0</v>
      </c>
      <c r="M7" s="478">
        <f>landbouw!M8</f>
        <v>0</v>
      </c>
      <c r="N7" s="478">
        <f>landbouw!N8</f>
        <v>0</v>
      </c>
      <c r="O7" s="478">
        <f>landbouw!O8</f>
        <v>0</v>
      </c>
      <c r="P7" s="479">
        <f>landbouw!P8</f>
        <v>0</v>
      </c>
      <c r="Q7" s="477">
        <f t="shared" si="0"/>
        <v>27811.866652333938</v>
      </c>
    </row>
    <row r="8" spans="1:17">
      <c r="A8" s="477" t="s">
        <v>635</v>
      </c>
      <c r="B8" s="478">
        <f>industrie!B18</f>
        <v>4441.3966594809281</v>
      </c>
      <c r="C8" s="478">
        <f>industrie!C18</f>
        <v>0</v>
      </c>
      <c r="D8" s="478">
        <f>industrie!D18</f>
        <v>2141.4313736803792</v>
      </c>
      <c r="E8" s="478">
        <f>industrie!E18</f>
        <v>352.52517886842054</v>
      </c>
      <c r="F8" s="478">
        <f>industrie!F18</f>
        <v>1157.0190634420464</v>
      </c>
      <c r="G8" s="478">
        <f>industrie!G18</f>
        <v>0</v>
      </c>
      <c r="H8" s="478">
        <f>industrie!H18</f>
        <v>0</v>
      </c>
      <c r="I8" s="478">
        <f>industrie!I18</f>
        <v>0</v>
      </c>
      <c r="J8" s="478">
        <f>industrie!J18</f>
        <v>11.765456052999452</v>
      </c>
      <c r="K8" s="478">
        <f>industrie!K18</f>
        <v>0</v>
      </c>
      <c r="L8" s="478">
        <f>industrie!L18</f>
        <v>0</v>
      </c>
      <c r="M8" s="478">
        <f>industrie!M18</f>
        <v>0</v>
      </c>
      <c r="N8" s="478">
        <f>industrie!N18</f>
        <v>955.2972591286134</v>
      </c>
      <c r="O8" s="478">
        <f>industrie!O18</f>
        <v>0</v>
      </c>
      <c r="P8" s="479">
        <f>industrie!P18</f>
        <v>0</v>
      </c>
      <c r="Q8" s="477">
        <f t="shared" si="0"/>
        <v>9059.4349906533862</v>
      </c>
    </row>
    <row r="9" spans="1:17" s="483" customFormat="1">
      <c r="A9" s="481" t="s">
        <v>561</v>
      </c>
      <c r="B9" s="482">
        <f>transport!B14</f>
        <v>20.962141101902198</v>
      </c>
      <c r="C9" s="482"/>
      <c r="D9" s="482">
        <f>transport!D14</f>
        <v>70.808281732252425</v>
      </c>
      <c r="E9" s="482">
        <f>transport!E14</f>
        <v>95.002811407503529</v>
      </c>
      <c r="F9" s="482"/>
      <c r="G9" s="482">
        <f>transport!G14</f>
        <v>30854.353072002144</v>
      </c>
      <c r="H9" s="482">
        <f>transport!H14</f>
        <v>7997.5045722850145</v>
      </c>
      <c r="I9" s="482"/>
      <c r="J9" s="482"/>
      <c r="K9" s="482"/>
      <c r="L9" s="482"/>
      <c r="M9" s="482">
        <f>transport!M14</f>
        <v>2040.034496929562</v>
      </c>
      <c r="N9" s="482"/>
      <c r="O9" s="482"/>
      <c r="P9" s="482"/>
      <c r="Q9" s="481">
        <f>SUM(B9:P9)</f>
        <v>41078.665375458375</v>
      </c>
    </row>
    <row r="10" spans="1:17">
      <c r="A10" s="477" t="s">
        <v>551</v>
      </c>
      <c r="B10" s="478">
        <f>transport!B54</f>
        <v>0</v>
      </c>
      <c r="C10" s="478"/>
      <c r="D10" s="478">
        <f>transport!D54</f>
        <v>0</v>
      </c>
      <c r="E10" s="478"/>
      <c r="F10" s="478"/>
      <c r="G10" s="478">
        <f>transport!G54</f>
        <v>432.34331999600221</v>
      </c>
      <c r="H10" s="478"/>
      <c r="I10" s="478"/>
      <c r="J10" s="478"/>
      <c r="K10" s="478"/>
      <c r="L10" s="478"/>
      <c r="M10" s="478">
        <f>transport!M54</f>
        <v>24.555191963162446</v>
      </c>
      <c r="N10" s="478"/>
      <c r="O10" s="478"/>
      <c r="P10" s="479"/>
      <c r="Q10" s="477">
        <f t="shared" si="0"/>
        <v>456.89851195916464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30144.673166968594</v>
      </c>
      <c r="C14" s="488">
        <f t="shared" ref="C14:Q14" ca="1" si="1">SUM(C4:C13)</f>
        <v>12982.499999999998</v>
      </c>
      <c r="D14" s="488">
        <f t="shared" ca="1" si="1"/>
        <v>64823.25292820223</v>
      </c>
      <c r="E14" s="488">
        <f t="shared" si="1"/>
        <v>3794.2979946192772</v>
      </c>
      <c r="F14" s="488">
        <f t="shared" ca="1" si="1"/>
        <v>11785.075353864569</v>
      </c>
      <c r="G14" s="488">
        <f t="shared" si="1"/>
        <v>31286.696391998146</v>
      </c>
      <c r="H14" s="488">
        <f t="shared" si="1"/>
        <v>7997.5045722850145</v>
      </c>
      <c r="I14" s="488">
        <f t="shared" si="1"/>
        <v>0</v>
      </c>
      <c r="J14" s="488">
        <f t="shared" si="1"/>
        <v>725.30943086626189</v>
      </c>
      <c r="K14" s="488">
        <f t="shared" si="1"/>
        <v>0</v>
      </c>
      <c r="L14" s="488">
        <f t="shared" ca="1" si="1"/>
        <v>0</v>
      </c>
      <c r="M14" s="488">
        <f t="shared" si="1"/>
        <v>2064.5896888927246</v>
      </c>
      <c r="N14" s="488">
        <f t="shared" ca="1" si="1"/>
        <v>10782.367309737267</v>
      </c>
      <c r="O14" s="488">
        <f t="shared" si="1"/>
        <v>126.63000000000001</v>
      </c>
      <c r="P14" s="489">
        <f t="shared" si="1"/>
        <v>362.26666666666665</v>
      </c>
      <c r="Q14" s="489">
        <f t="shared" ca="1" si="1"/>
        <v>176875.16350410072</v>
      </c>
    </row>
    <row r="16" spans="1:17">
      <c r="A16" s="491" t="s">
        <v>556</v>
      </c>
      <c r="B16" s="841">
        <f ca="1">huishoudens!B10</f>
        <v>0.20878046410555309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3097.5424697075605</v>
      </c>
      <c r="C21" s="478">
        <f t="shared" ref="C21:C28" ca="1" si="3">C4*$C$16</f>
        <v>0</v>
      </c>
      <c r="D21" s="478">
        <f t="shared" ref="D21:D30" si="4">D4*$D$16</f>
        <v>8980.3510478197859</v>
      </c>
      <c r="E21" s="478">
        <f t="shared" ref="E21:E30" si="5">E4*$E$16</f>
        <v>712.77438634266309</v>
      </c>
      <c r="F21" s="478">
        <f t="shared" ref="F21:F28" si="6">F4*$F$16</f>
        <v>718.86594346099832</v>
      </c>
      <c r="G21" s="478">
        <f t="shared" ref="G21:G30" si="7">G4*$G$16</f>
        <v>0</v>
      </c>
      <c r="H21" s="478">
        <f t="shared" ref="H21:H30" si="8">H4*$H$16</f>
        <v>0</v>
      </c>
      <c r="I21" s="478">
        <f t="shared" ref="I21:I28" si="9">I4*$I$16</f>
        <v>0</v>
      </c>
      <c r="J21" s="478">
        <f t="shared" ref="J21:J28" si="10">J4*$J$16</f>
        <v>174.75018045113984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13684.284027782147</v>
      </c>
    </row>
    <row r="22" spans="1:17">
      <c r="A22" s="477" t="s">
        <v>156</v>
      </c>
      <c r="B22" s="478">
        <f t="shared" ca="1" si="2"/>
        <v>1857.7240107626096</v>
      </c>
      <c r="C22" s="478">
        <f t="shared" ca="1" si="3"/>
        <v>8.4025210084033635</v>
      </c>
      <c r="D22" s="478">
        <f t="shared" ca="1" si="4"/>
        <v>2301.5092403464237</v>
      </c>
      <c r="E22" s="478">
        <f t="shared" si="5"/>
        <v>36.816401255738256</v>
      </c>
      <c r="F22" s="478">
        <f t="shared" ca="1" si="6"/>
        <v>430.74756345906081</v>
      </c>
      <c r="G22" s="478">
        <f t="shared" si="7"/>
        <v>0</v>
      </c>
      <c r="H22" s="478">
        <f t="shared" si="8"/>
        <v>0</v>
      </c>
      <c r="I22" s="478">
        <f t="shared" si="9"/>
        <v>0</v>
      </c>
      <c r="J22" s="478">
        <f t="shared" si="10"/>
        <v>9.4151735559812062E-3</v>
      </c>
      <c r="K22" s="478">
        <f t="shared" si="11"/>
        <v>0</v>
      </c>
      <c r="L22" s="478">
        <f t="shared" ca="1" si="12"/>
        <v>0</v>
      </c>
      <c r="M22" s="478">
        <f t="shared" si="13"/>
        <v>0</v>
      </c>
      <c r="N22" s="478">
        <f t="shared" ca="1" si="14"/>
        <v>0</v>
      </c>
      <c r="O22" s="478">
        <f t="shared" si="15"/>
        <v>0</v>
      </c>
      <c r="P22" s="479">
        <f t="shared" si="16"/>
        <v>0</v>
      </c>
      <c r="Q22" s="477">
        <f t="shared" ref="Q22:Q30" ca="1" si="17">SUM(B22:P22)</f>
        <v>4635.2091520057911</v>
      </c>
    </row>
    <row r="23" spans="1:17">
      <c r="A23" s="477" t="s">
        <v>194</v>
      </c>
      <c r="B23" s="478">
        <f t="shared" ca="1" si="2"/>
        <v>89.846376142719606</v>
      </c>
      <c r="C23" s="478"/>
      <c r="D23" s="478"/>
      <c r="E23" s="478"/>
      <c r="F23" s="478"/>
      <c r="G23" s="478"/>
      <c r="H23" s="478"/>
      <c r="I23" s="478"/>
      <c r="J23" s="478"/>
      <c r="K23" s="478"/>
      <c r="L23" s="478"/>
      <c r="M23" s="478"/>
      <c r="N23" s="478"/>
      <c r="O23" s="478"/>
      <c r="P23" s="479"/>
      <c r="Q23" s="477">
        <f t="shared" ca="1" si="17"/>
        <v>89.846376142719606</v>
      </c>
    </row>
    <row r="24" spans="1:17">
      <c r="A24" s="477" t="s">
        <v>112</v>
      </c>
      <c r="B24" s="478">
        <f t="shared" ca="1" si="2"/>
        <v>316.85265610584378</v>
      </c>
      <c r="C24" s="478">
        <f t="shared" ca="1" si="3"/>
        <v>3076.8504201680671</v>
      </c>
      <c r="D24" s="478">
        <f t="shared" si="4"/>
        <v>1365.5643929372891</v>
      </c>
      <c r="E24" s="478">
        <f t="shared" si="5"/>
        <v>10.126003387539853</v>
      </c>
      <c r="F24" s="478">
        <f t="shared" si="6"/>
        <v>1688.0775226227545</v>
      </c>
      <c r="G24" s="478">
        <f t="shared" si="7"/>
        <v>0</v>
      </c>
      <c r="H24" s="478">
        <f t="shared" si="8"/>
        <v>0</v>
      </c>
      <c r="I24" s="478">
        <f t="shared" si="9"/>
        <v>0</v>
      </c>
      <c r="J24" s="478">
        <f t="shared" si="10"/>
        <v>77.834971459199068</v>
      </c>
      <c r="K24" s="478">
        <f t="shared" si="11"/>
        <v>0</v>
      </c>
      <c r="L24" s="478">
        <f t="shared" si="12"/>
        <v>0</v>
      </c>
      <c r="M24" s="478">
        <f t="shared" si="13"/>
        <v>0</v>
      </c>
      <c r="N24" s="478">
        <f t="shared" si="14"/>
        <v>0</v>
      </c>
      <c r="O24" s="478">
        <f t="shared" si="15"/>
        <v>0</v>
      </c>
      <c r="P24" s="479">
        <f t="shared" si="16"/>
        <v>0</v>
      </c>
      <c r="Q24" s="477">
        <f t="shared" ca="1" si="17"/>
        <v>6535.3059666806921</v>
      </c>
    </row>
    <row r="25" spans="1:17">
      <c r="A25" s="477" t="s">
        <v>635</v>
      </c>
      <c r="B25" s="478">
        <f t="shared" ca="1" si="2"/>
        <v>927.27685584328128</v>
      </c>
      <c r="C25" s="478">
        <f t="shared" ca="1" si="3"/>
        <v>0</v>
      </c>
      <c r="D25" s="478">
        <f t="shared" si="4"/>
        <v>432.56913748343663</v>
      </c>
      <c r="E25" s="478">
        <f t="shared" si="5"/>
        <v>80.023215603131462</v>
      </c>
      <c r="F25" s="478">
        <f t="shared" si="6"/>
        <v>308.92408993902643</v>
      </c>
      <c r="G25" s="478">
        <f t="shared" si="7"/>
        <v>0</v>
      </c>
      <c r="H25" s="478">
        <f t="shared" si="8"/>
        <v>0</v>
      </c>
      <c r="I25" s="478">
        <f t="shared" si="9"/>
        <v>0</v>
      </c>
      <c r="J25" s="478">
        <f t="shared" si="10"/>
        <v>4.1649714427618063</v>
      </c>
      <c r="K25" s="478">
        <f t="shared" si="11"/>
        <v>0</v>
      </c>
      <c r="L25" s="478">
        <f t="shared" si="12"/>
        <v>0</v>
      </c>
      <c r="M25" s="478">
        <f t="shared" si="13"/>
        <v>0</v>
      </c>
      <c r="N25" s="478">
        <f t="shared" si="14"/>
        <v>0</v>
      </c>
      <c r="O25" s="478">
        <f t="shared" si="15"/>
        <v>0</v>
      </c>
      <c r="P25" s="479">
        <f t="shared" si="16"/>
        <v>0</v>
      </c>
      <c r="Q25" s="477">
        <f t="shared" ca="1" si="17"/>
        <v>1752.9582703116375</v>
      </c>
    </row>
    <row r="26" spans="1:17" s="483" customFormat="1">
      <c r="A26" s="481" t="s">
        <v>561</v>
      </c>
      <c r="B26" s="835">
        <f t="shared" ca="1" si="2"/>
        <v>4.3764855479012308</v>
      </c>
      <c r="C26" s="482"/>
      <c r="D26" s="482">
        <f t="shared" si="4"/>
        <v>14.303272909914991</v>
      </c>
      <c r="E26" s="482">
        <f t="shared" si="5"/>
        <v>21.5656381895033</v>
      </c>
      <c r="F26" s="482"/>
      <c r="G26" s="482">
        <f t="shared" si="7"/>
        <v>8238.1122702245739</v>
      </c>
      <c r="H26" s="482">
        <f t="shared" si="8"/>
        <v>1991.3786384989687</v>
      </c>
      <c r="I26" s="482"/>
      <c r="J26" s="482"/>
      <c r="K26" s="482"/>
      <c r="L26" s="482"/>
      <c r="M26" s="482">
        <f t="shared" si="13"/>
        <v>0</v>
      </c>
      <c r="N26" s="482"/>
      <c r="O26" s="482"/>
      <c r="P26" s="493"/>
      <c r="Q26" s="481">
        <f t="shared" ca="1" si="17"/>
        <v>10269.736305370863</v>
      </c>
    </row>
    <row r="27" spans="1:17">
      <c r="A27" s="477" t="s">
        <v>551</v>
      </c>
      <c r="B27" s="478">
        <f t="shared" ca="1" si="2"/>
        <v>0</v>
      </c>
      <c r="C27" s="478"/>
      <c r="D27" s="482">
        <f t="shared" si="4"/>
        <v>0</v>
      </c>
      <c r="E27" s="478"/>
      <c r="F27" s="478"/>
      <c r="G27" s="478">
        <f t="shared" si="7"/>
        <v>115.4356664389326</v>
      </c>
      <c r="H27" s="478"/>
      <c r="I27" s="478"/>
      <c r="J27" s="478"/>
      <c r="K27" s="478"/>
      <c r="L27" s="478"/>
      <c r="M27" s="478">
        <f t="shared" si="13"/>
        <v>0</v>
      </c>
      <c r="N27" s="478"/>
      <c r="O27" s="478"/>
      <c r="P27" s="479"/>
      <c r="Q27" s="477">
        <f t="shared" ca="1" si="17"/>
        <v>115.4356664389326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6293.6188541099154</v>
      </c>
      <c r="C31" s="488">
        <f t="shared" ca="1" si="18"/>
        <v>3085.2529411764704</v>
      </c>
      <c r="D31" s="488">
        <f t="shared" ca="1" si="18"/>
        <v>13094.29709149685</v>
      </c>
      <c r="E31" s="488">
        <f t="shared" si="18"/>
        <v>861.30564477857592</v>
      </c>
      <c r="F31" s="488">
        <f t="shared" ca="1" si="18"/>
        <v>3146.6151194818399</v>
      </c>
      <c r="G31" s="488">
        <f t="shared" si="18"/>
        <v>8353.5479366635063</v>
      </c>
      <c r="H31" s="488">
        <f t="shared" si="18"/>
        <v>1991.3786384989687</v>
      </c>
      <c r="I31" s="488">
        <f t="shared" si="18"/>
        <v>0</v>
      </c>
      <c r="J31" s="488">
        <f t="shared" si="18"/>
        <v>256.75953852665668</v>
      </c>
      <c r="K31" s="488">
        <f t="shared" si="18"/>
        <v>0</v>
      </c>
      <c r="L31" s="488">
        <f t="shared" ca="1" si="18"/>
        <v>0</v>
      </c>
      <c r="M31" s="488">
        <f t="shared" si="18"/>
        <v>0</v>
      </c>
      <c r="N31" s="488">
        <f t="shared" ca="1" si="18"/>
        <v>0</v>
      </c>
      <c r="O31" s="488">
        <f t="shared" si="18"/>
        <v>0</v>
      </c>
      <c r="P31" s="489">
        <f t="shared" si="18"/>
        <v>0</v>
      </c>
      <c r="Q31" s="489">
        <f t="shared" ca="1" si="18"/>
        <v>37082.775764732782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0.20878046410555309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0.20878046410555309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0.20878046410555309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3693</v>
      </c>
      <c r="C9" s="342">
        <v>3974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1208.95</v>
      </c>
    </row>
    <row r="15" spans="1:6">
      <c r="A15" s="348" t="s">
        <v>184</v>
      </c>
      <c r="B15" s="334">
        <v>20</v>
      </c>
    </row>
    <row r="16" spans="1:6">
      <c r="A16" s="348" t="s">
        <v>6</v>
      </c>
      <c r="B16" s="334">
        <v>1046</v>
      </c>
    </row>
    <row r="17" spans="1:6">
      <c r="A17" s="348" t="s">
        <v>7</v>
      </c>
      <c r="B17" s="334">
        <v>55</v>
      </c>
    </row>
    <row r="18" spans="1:6">
      <c r="A18" s="348" t="s">
        <v>8</v>
      </c>
      <c r="B18" s="334">
        <v>556</v>
      </c>
    </row>
    <row r="19" spans="1:6">
      <c r="A19" s="348" t="s">
        <v>9</v>
      </c>
      <c r="B19" s="334">
        <v>580</v>
      </c>
    </row>
    <row r="20" spans="1:6">
      <c r="A20" s="348" t="s">
        <v>10</v>
      </c>
      <c r="B20" s="334">
        <v>259</v>
      </c>
    </row>
    <row r="21" spans="1:6">
      <c r="A21" s="348" t="s">
        <v>11</v>
      </c>
      <c r="B21" s="334">
        <v>2300</v>
      </c>
    </row>
    <row r="22" spans="1:6">
      <c r="A22" s="348" t="s">
        <v>12</v>
      </c>
      <c r="B22" s="334">
        <v>6518</v>
      </c>
    </row>
    <row r="23" spans="1:6">
      <c r="A23" s="348" t="s">
        <v>13</v>
      </c>
      <c r="B23" s="334">
        <v>124</v>
      </c>
    </row>
    <row r="24" spans="1:6">
      <c r="A24" s="348" t="s">
        <v>14</v>
      </c>
      <c r="B24" s="334">
        <v>9</v>
      </c>
    </row>
    <row r="25" spans="1:6">
      <c r="A25" s="348" t="s">
        <v>15</v>
      </c>
      <c r="B25" s="334">
        <v>763</v>
      </c>
    </row>
    <row r="26" spans="1:6">
      <c r="A26" s="348" t="s">
        <v>16</v>
      </c>
      <c r="B26" s="334">
        <v>48</v>
      </c>
    </row>
    <row r="27" spans="1:6">
      <c r="A27" s="348" t="s">
        <v>17</v>
      </c>
      <c r="B27" s="334">
        <v>9</v>
      </c>
    </row>
    <row r="28" spans="1:6" s="356" customFormat="1">
      <c r="A28" s="355" t="s">
        <v>18</v>
      </c>
      <c r="B28" s="355">
        <v>2</v>
      </c>
    </row>
    <row r="29" spans="1:6">
      <c r="A29" s="355" t="s">
        <v>744</v>
      </c>
      <c r="B29" s="355">
        <v>125</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132532.90609233399</v>
      </c>
      <c r="E38" s="334">
        <v>2</v>
      </c>
      <c r="F38" s="334">
        <v>56121.308608147803</v>
      </c>
    </row>
    <row r="39" spans="1:6">
      <c r="A39" s="348" t="s">
        <v>30</v>
      </c>
      <c r="B39" s="348" t="s">
        <v>31</v>
      </c>
      <c r="C39" s="334">
        <v>2860</v>
      </c>
      <c r="D39" s="334">
        <v>49287343.021118</v>
      </c>
      <c r="E39" s="334">
        <v>3649</v>
      </c>
      <c r="F39" s="334">
        <v>12883884.801208099</v>
      </c>
    </row>
    <row r="40" spans="1:6">
      <c r="A40" s="348" t="s">
        <v>30</v>
      </c>
      <c r="B40" s="348" t="s">
        <v>29</v>
      </c>
      <c r="C40" s="334">
        <v>0</v>
      </c>
      <c r="D40" s="334">
        <v>0</v>
      </c>
      <c r="E40" s="334">
        <v>0</v>
      </c>
      <c r="F40" s="334">
        <v>0</v>
      </c>
    </row>
    <row r="41" spans="1:6">
      <c r="A41" s="348" t="s">
        <v>32</v>
      </c>
      <c r="B41" s="348" t="s">
        <v>33</v>
      </c>
      <c r="C41" s="334">
        <v>33</v>
      </c>
      <c r="D41" s="334">
        <v>758688.80242207798</v>
      </c>
      <c r="E41" s="334">
        <v>58</v>
      </c>
      <c r="F41" s="334">
        <v>575644.48363914096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317580.23808000702</v>
      </c>
      <c r="E44" s="334">
        <v>4</v>
      </c>
      <c r="F44" s="334">
        <v>220770.53124493701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1046464.25640392</v>
      </c>
      <c r="E48" s="334">
        <v>25</v>
      </c>
      <c r="F48" s="334">
        <v>3286457.6947082798</v>
      </c>
    </row>
    <row r="49" spans="1:6">
      <c r="A49" s="348" t="s">
        <v>32</v>
      </c>
      <c r="B49" s="348" t="s">
        <v>40</v>
      </c>
      <c r="C49" s="334">
        <v>0</v>
      </c>
      <c r="D49" s="334">
        <v>0</v>
      </c>
      <c r="E49" s="334">
        <v>0</v>
      </c>
      <c r="F49" s="334">
        <v>0</v>
      </c>
    </row>
    <row r="50" spans="1:6">
      <c r="A50" s="348" t="s">
        <v>32</v>
      </c>
      <c r="B50" s="348" t="s">
        <v>41</v>
      </c>
      <c r="C50" s="334">
        <v>6</v>
      </c>
      <c r="D50" s="334">
        <v>251359.13511215401</v>
      </c>
      <c r="E50" s="334">
        <v>6</v>
      </c>
      <c r="F50" s="334">
        <v>358523.94988857099</v>
      </c>
    </row>
    <row r="51" spans="1:6">
      <c r="A51" s="348" t="s">
        <v>42</v>
      </c>
      <c r="B51" s="348" t="s">
        <v>43</v>
      </c>
      <c r="C51" s="334">
        <v>3</v>
      </c>
      <c r="D51" s="334">
        <v>141016.10834041901</v>
      </c>
      <c r="E51" s="334">
        <v>40</v>
      </c>
      <c r="F51" s="334">
        <v>877473.46369676699</v>
      </c>
    </row>
    <row r="52" spans="1:6">
      <c r="A52" s="348" t="s">
        <v>42</v>
      </c>
      <c r="B52" s="348" t="s">
        <v>29</v>
      </c>
      <c r="C52" s="334">
        <v>4</v>
      </c>
      <c r="D52" s="334">
        <v>34765114.783636101</v>
      </c>
      <c r="E52" s="334">
        <v>8</v>
      </c>
      <c r="F52" s="334">
        <v>640162.09412847401</v>
      </c>
    </row>
    <row r="53" spans="1:6">
      <c r="A53" s="348" t="s">
        <v>44</v>
      </c>
      <c r="B53" s="348" t="s">
        <v>45</v>
      </c>
      <c r="C53" s="334">
        <v>60</v>
      </c>
      <c r="D53" s="334">
        <v>1296203.3445001901</v>
      </c>
      <c r="E53" s="334">
        <v>117</v>
      </c>
      <c r="F53" s="334">
        <v>438787.591223458</v>
      </c>
    </row>
    <row r="54" spans="1:6">
      <c r="A54" s="348" t="s">
        <v>46</v>
      </c>
      <c r="B54" s="348" t="s">
        <v>47</v>
      </c>
      <c r="C54" s="334">
        <v>0</v>
      </c>
      <c r="D54" s="334">
        <v>0</v>
      </c>
      <c r="E54" s="334">
        <v>1</v>
      </c>
      <c r="F54" s="334">
        <v>430339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2828030.4410077198</v>
      </c>
      <c r="E57" s="334">
        <v>62</v>
      </c>
      <c r="F57" s="334">
        <v>991489.11860467703</v>
      </c>
    </row>
    <row r="58" spans="1:6">
      <c r="A58" s="348" t="s">
        <v>49</v>
      </c>
      <c r="B58" s="348" t="s">
        <v>51</v>
      </c>
      <c r="C58" s="334">
        <v>24</v>
      </c>
      <c r="D58" s="334">
        <v>687544.52936001099</v>
      </c>
      <c r="E58" s="334">
        <v>18</v>
      </c>
      <c r="F58" s="334">
        <v>74065.285368799407</v>
      </c>
    </row>
    <row r="59" spans="1:6">
      <c r="A59" s="348" t="s">
        <v>49</v>
      </c>
      <c r="B59" s="348" t="s">
        <v>52</v>
      </c>
      <c r="C59" s="334">
        <v>40</v>
      </c>
      <c r="D59" s="334">
        <v>1431801.3393385401</v>
      </c>
      <c r="E59" s="334">
        <v>84</v>
      </c>
      <c r="F59" s="334">
        <v>3374484.7504513799</v>
      </c>
    </row>
    <row r="60" spans="1:6">
      <c r="A60" s="348" t="s">
        <v>49</v>
      </c>
      <c r="B60" s="348" t="s">
        <v>53</v>
      </c>
      <c r="C60" s="334">
        <v>32</v>
      </c>
      <c r="D60" s="334">
        <v>1131439.4506562101</v>
      </c>
      <c r="E60" s="334">
        <v>42</v>
      </c>
      <c r="F60" s="334">
        <v>877985.71527292405</v>
      </c>
    </row>
    <row r="61" spans="1:6">
      <c r="A61" s="348" t="s">
        <v>49</v>
      </c>
      <c r="B61" s="348" t="s">
        <v>54</v>
      </c>
      <c r="C61" s="334">
        <v>47</v>
      </c>
      <c r="D61" s="334">
        <v>3483125.9661745201</v>
      </c>
      <c r="E61" s="334">
        <v>147</v>
      </c>
      <c r="F61" s="334">
        <v>1459336.95497507</v>
      </c>
    </row>
    <row r="62" spans="1:6">
      <c r="A62" s="348" t="s">
        <v>49</v>
      </c>
      <c r="B62" s="348" t="s">
        <v>55</v>
      </c>
      <c r="C62" s="334">
        <v>0</v>
      </c>
      <c r="D62" s="334">
        <v>0</v>
      </c>
      <c r="E62" s="334">
        <v>0</v>
      </c>
      <c r="F62" s="334">
        <v>0</v>
      </c>
    </row>
    <row r="63" spans="1:6">
      <c r="A63" s="348" t="s">
        <v>49</v>
      </c>
      <c r="B63" s="348" t="s">
        <v>29</v>
      </c>
      <c r="C63" s="334">
        <v>64</v>
      </c>
      <c r="D63" s="334">
        <v>3147952.2717325701</v>
      </c>
      <c r="E63" s="334">
        <v>78</v>
      </c>
      <c r="F63" s="334">
        <v>2095866.3397180501</v>
      </c>
    </row>
    <row r="64" spans="1:6">
      <c r="A64" s="348" t="s">
        <v>56</v>
      </c>
      <c r="B64" s="348" t="s">
        <v>57</v>
      </c>
      <c r="C64" s="334">
        <v>0</v>
      </c>
      <c r="D64" s="334">
        <v>0</v>
      </c>
      <c r="E64" s="334">
        <v>0</v>
      </c>
      <c r="F64" s="334">
        <v>0</v>
      </c>
    </row>
    <row r="65" spans="1:6">
      <c r="A65" s="348" t="s">
        <v>56</v>
      </c>
      <c r="B65" s="348" t="s">
        <v>29</v>
      </c>
      <c r="C65" s="334">
        <v>1</v>
      </c>
      <c r="D65" s="334">
        <v>28808.9665258842</v>
      </c>
      <c r="E65" s="334">
        <v>4</v>
      </c>
      <c r="F65" s="334">
        <v>24238.967493915901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919054.54291166901</v>
      </c>
      <c r="E68" s="334">
        <v>6</v>
      </c>
      <c r="F68" s="334">
        <v>291074.38371443597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44424037</v>
      </c>
      <c r="E73" s="476">
        <v>44809720.753484502</v>
      </c>
    </row>
    <row r="74" spans="1:6">
      <c r="A74" s="348" t="s">
        <v>64</v>
      </c>
      <c r="B74" s="348" t="s">
        <v>657</v>
      </c>
      <c r="C74" s="1272" t="s">
        <v>659</v>
      </c>
      <c r="D74" s="476">
        <v>2005556.7437617425</v>
      </c>
      <c r="E74" s="476">
        <v>2003316.3907529132</v>
      </c>
    </row>
    <row r="75" spans="1:6">
      <c r="A75" s="348" t="s">
        <v>65</v>
      </c>
      <c r="B75" s="348" t="s">
        <v>656</v>
      </c>
      <c r="C75" s="1272" t="s">
        <v>660</v>
      </c>
      <c r="D75" s="476">
        <v>8628492</v>
      </c>
      <c r="E75" s="476">
        <v>8719000.0882670749</v>
      </c>
    </row>
    <row r="76" spans="1:6">
      <c r="A76" s="348" t="s">
        <v>65</v>
      </c>
      <c r="B76" s="348" t="s">
        <v>657</v>
      </c>
      <c r="C76" s="1272" t="s">
        <v>661</v>
      </c>
      <c r="D76" s="476">
        <v>403759.74376174243</v>
      </c>
      <c r="E76" s="476">
        <v>412118.52871241147</v>
      </c>
    </row>
    <row r="77" spans="1:6">
      <c r="A77" s="348" t="s">
        <v>66</v>
      </c>
      <c r="B77" s="348" t="s">
        <v>656</v>
      </c>
      <c r="C77" s="1272" t="s">
        <v>662</v>
      </c>
      <c r="D77" s="476">
        <v>231570</v>
      </c>
      <c r="E77" s="476">
        <v>221352.56034041336</v>
      </c>
    </row>
    <row r="78" spans="1:6">
      <c r="A78" s="341" t="s">
        <v>66</v>
      </c>
      <c r="B78" s="341" t="s">
        <v>657</v>
      </c>
      <c r="C78" s="341" t="s">
        <v>663</v>
      </c>
      <c r="D78" s="1273">
        <v>52556</v>
      </c>
      <c r="E78" s="1273">
        <v>56417.206490501681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123918.51247651514</v>
      </c>
      <c r="C83" s="476">
        <v>124463.9072773634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1952.4768429615208</v>
      </c>
    </row>
    <row r="92" spans="1:6">
      <c r="A92" s="341" t="s">
        <v>69</v>
      </c>
      <c r="B92" s="342">
        <v>398.82734081075739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2060</v>
      </c>
    </row>
    <row r="98" spans="1:6">
      <c r="A98" s="348" t="s">
        <v>72</v>
      </c>
      <c r="B98" s="334">
        <v>2</v>
      </c>
    </row>
    <row r="99" spans="1:6">
      <c r="A99" s="348" t="s">
        <v>73</v>
      </c>
      <c r="B99" s="334">
        <v>50</v>
      </c>
    </row>
    <row r="100" spans="1:6">
      <c r="A100" s="348" t="s">
        <v>74</v>
      </c>
      <c r="B100" s="334">
        <v>144</v>
      </c>
    </row>
    <row r="101" spans="1:6">
      <c r="A101" s="348" t="s">
        <v>75</v>
      </c>
      <c r="B101" s="334">
        <v>41</v>
      </c>
    </row>
    <row r="102" spans="1:6">
      <c r="A102" s="348" t="s">
        <v>76</v>
      </c>
      <c r="B102" s="334">
        <v>32</v>
      </c>
    </row>
    <row r="103" spans="1:6">
      <c r="A103" s="348" t="s">
        <v>77</v>
      </c>
      <c r="B103" s="334">
        <v>94</v>
      </c>
    </row>
    <row r="104" spans="1:6">
      <c r="A104" s="348" t="s">
        <v>78</v>
      </c>
      <c r="B104" s="334">
        <v>824</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30144.673166968594</v>
      </c>
      <c r="C3" s="43" t="s">
        <v>170</v>
      </c>
      <c r="D3" s="43"/>
      <c r="E3" s="154"/>
      <c r="F3" s="43"/>
      <c r="G3" s="43"/>
      <c r="H3" s="43"/>
      <c r="I3" s="43"/>
      <c r="J3" s="43"/>
      <c r="K3" s="96"/>
    </row>
    <row r="4" spans="1:11">
      <c r="A4" s="383" t="s">
        <v>171</v>
      </c>
      <c r="B4" s="49">
        <f>IF(ISERROR('SEAP template'!B69),0,'SEAP template'!B69)</f>
        <v>11439.054183772276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2159.677058823529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0.20878046410555309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3085.2529411764704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12982.499999999998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430.339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430.339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0.20878046410555309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89.846376142719606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12883.8848012081</v>
      </c>
      <c r="C5" s="17">
        <f>IF(ISERROR('Eigen informatie GS &amp; warmtenet'!B57),0,'Eigen informatie GS &amp; warmtenet'!B57)</f>
        <v>0</v>
      </c>
      <c r="D5" s="30">
        <f>(SUM(HH_hh_gas_kWh,HH_rest_gas_kWh)/1000)*0.902</f>
        <v>44457.183405048439</v>
      </c>
      <c r="E5" s="17">
        <f>B46*B57</f>
        <v>3139.9752702319961</v>
      </c>
      <c r="F5" s="17">
        <f>B51*B62</f>
        <v>2692.3818107153493</v>
      </c>
      <c r="G5" s="18"/>
      <c r="H5" s="17"/>
      <c r="I5" s="17"/>
      <c r="J5" s="17">
        <f>B50*B61+C50*C61</f>
        <v>493.64457754559282</v>
      </c>
      <c r="K5" s="17"/>
      <c r="L5" s="17"/>
      <c r="M5" s="17"/>
      <c r="N5" s="17">
        <f>B48*B59+C48*C59</f>
        <v>8774.709515096527</v>
      </c>
      <c r="O5" s="17">
        <f>B69*B70*B71</f>
        <v>123.50333333333334</v>
      </c>
      <c r="P5" s="17">
        <f>B77*B78*B79/1000-B77*B78*B79/1000/B80</f>
        <v>343.2</v>
      </c>
    </row>
    <row r="6" spans="1:16">
      <c r="A6" s="16" t="s">
        <v>621</v>
      </c>
      <c r="B6" s="843">
        <f>kWh_PV_kleiner_dan_10kW</f>
        <v>1952.4768429615208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14836.361644169621</v>
      </c>
      <c r="C8" s="21">
        <f>C5</f>
        <v>0</v>
      </c>
      <c r="D8" s="21">
        <f>D5</f>
        <v>44457.183405048439</v>
      </c>
      <c r="E8" s="21">
        <f>E5</f>
        <v>3139.9752702319961</v>
      </c>
      <c r="F8" s="21">
        <f>F5</f>
        <v>2692.3818107153493</v>
      </c>
      <c r="G8" s="21"/>
      <c r="H8" s="21"/>
      <c r="I8" s="21"/>
      <c r="J8" s="21">
        <f>J5</f>
        <v>493.64457754559282</v>
      </c>
      <c r="K8" s="21"/>
      <c r="L8" s="21">
        <f>L5</f>
        <v>0</v>
      </c>
      <c r="M8" s="21">
        <f>M5</f>
        <v>0</v>
      </c>
      <c r="N8" s="21">
        <f>N5</f>
        <v>8774.709515096527</v>
      </c>
      <c r="O8" s="21">
        <f>O5</f>
        <v>123.50333333333334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0.20878046410555309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3097.5424697075605</v>
      </c>
      <c r="C12" s="23">
        <f ca="1">C10*C8</f>
        <v>0</v>
      </c>
      <c r="D12" s="23">
        <f>D8*D10</f>
        <v>8980.3510478197859</v>
      </c>
      <c r="E12" s="23">
        <f>E10*E8</f>
        <v>712.77438634266309</v>
      </c>
      <c r="F12" s="23">
        <f>F10*F8</f>
        <v>718.86594346099832</v>
      </c>
      <c r="G12" s="23"/>
      <c r="H12" s="23"/>
      <c r="I12" s="23"/>
      <c r="J12" s="23">
        <f>J10*J8</f>
        <v>174.75018045113984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2060</v>
      </c>
      <c r="C18" s="166" t="s">
        <v>111</v>
      </c>
      <c r="D18" s="228"/>
      <c r="E18" s="15"/>
    </row>
    <row r="19" spans="1:7">
      <c r="A19" s="171" t="s">
        <v>72</v>
      </c>
      <c r="B19" s="37">
        <f>aantalw2001_ander</f>
        <v>2</v>
      </c>
      <c r="C19" s="166" t="s">
        <v>111</v>
      </c>
      <c r="D19" s="229"/>
      <c r="E19" s="15"/>
    </row>
    <row r="20" spans="1:7">
      <c r="A20" s="171" t="s">
        <v>73</v>
      </c>
      <c r="B20" s="37">
        <f>aantalw2001_propaan</f>
        <v>50</v>
      </c>
      <c r="C20" s="167">
        <f>IF(ISERROR(B20/SUM($B$20,$B$21,$B$22)*100),0,B20/SUM($B$20,$B$21,$B$22)*100)</f>
        <v>21.276595744680851</v>
      </c>
      <c r="D20" s="229"/>
      <c r="E20" s="15"/>
    </row>
    <row r="21" spans="1:7">
      <c r="A21" s="171" t="s">
        <v>74</v>
      </c>
      <c r="B21" s="37">
        <f>aantalw2001_elektriciteit</f>
        <v>144</v>
      </c>
      <c r="C21" s="167">
        <f>IF(ISERROR(B21/SUM($B$20,$B$21,$B$22)*100),0,B21/SUM($B$20,$B$21,$B$22)*100)</f>
        <v>61.276595744680847</v>
      </c>
      <c r="D21" s="229"/>
      <c r="E21" s="15"/>
    </row>
    <row r="22" spans="1:7">
      <c r="A22" s="171" t="s">
        <v>75</v>
      </c>
      <c r="B22" s="37">
        <f>aantalw2001_hout</f>
        <v>41</v>
      </c>
      <c r="C22" s="167">
        <f>IF(ISERROR(B22/SUM($B$20,$B$21,$B$22)*100),0,B22/SUM($B$20,$B$21,$B$22)*100)</f>
        <v>17.446808510638299</v>
      </c>
      <c r="D22" s="229"/>
      <c r="E22" s="15"/>
    </row>
    <row r="23" spans="1:7">
      <c r="A23" s="171" t="s">
        <v>76</v>
      </c>
      <c r="B23" s="37">
        <f>aantalw2001_niet_gespec</f>
        <v>32</v>
      </c>
      <c r="C23" s="166" t="s">
        <v>111</v>
      </c>
      <c r="D23" s="228"/>
      <c r="E23" s="15"/>
    </row>
    <row r="24" spans="1:7">
      <c r="A24" s="171" t="s">
        <v>77</v>
      </c>
      <c r="B24" s="37">
        <f>aantalw2001_steenkool</f>
        <v>94</v>
      </c>
      <c r="C24" s="166" t="s">
        <v>111</v>
      </c>
      <c r="D24" s="229"/>
      <c r="E24" s="15"/>
    </row>
    <row r="25" spans="1:7">
      <c r="A25" s="171" t="s">
        <v>78</v>
      </c>
      <c r="B25" s="37">
        <f>aantalw2001_stookolie</f>
        <v>824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3693</v>
      </c>
      <c r="C28" s="36"/>
      <c r="D28" s="228"/>
    </row>
    <row r="29" spans="1:7" s="15" customFormat="1">
      <c r="A29" s="230" t="s">
        <v>795</v>
      </c>
      <c r="B29" s="37">
        <f>SUM(HH_hh_gas_aantal,HH_rest_gas_aantal)</f>
        <v>2860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2860</v>
      </c>
      <c r="C32" s="167">
        <f>IF(ISERROR(B32/SUM($B$32,$B$34,$B$35,$B$36,$B$38,$B$39)*100),0,B32/SUM($B$32,$B$34,$B$35,$B$36,$B$38,$B$39)*100)</f>
        <v>77.823129251700678</v>
      </c>
      <c r="D32" s="233"/>
      <c r="G32" s="15"/>
    </row>
    <row r="33" spans="1:7">
      <c r="A33" s="171" t="s">
        <v>72</v>
      </c>
      <c r="B33" s="34" t="s">
        <v>111</v>
      </c>
      <c r="C33" s="167"/>
      <c r="D33" s="233"/>
      <c r="G33" s="15"/>
    </row>
    <row r="34" spans="1:7">
      <c r="A34" s="171" t="s">
        <v>73</v>
      </c>
      <c r="B34" s="33">
        <f>IF((($B$28-$B$32-$B$39-$B$77-$B$38)*C20/100)&lt;0,0,($B$28-$B$32-$B$39-$B$77-$B$38)*C20/100)</f>
        <v>148.29787234042553</v>
      </c>
      <c r="C34" s="167">
        <f>IF(ISERROR(B34/SUM($B$32,$B$34,$B$35,$B$36,$B$38,$B$39)*100),0,B34/SUM($B$32,$B$34,$B$35,$B$36,$B$38,$B$39)*100)</f>
        <v>4.0353162541612395</v>
      </c>
      <c r="D34" s="233"/>
      <c r="G34" s="15"/>
    </row>
    <row r="35" spans="1:7">
      <c r="A35" s="171" t="s">
        <v>74</v>
      </c>
      <c r="B35" s="33">
        <f>IF((($B$28-$B$32-$B$39-$B$77-$B$38)*C21/100)&lt;0,0,($B$28-$B$32-$B$39-$B$77-$B$38)*C21/100)</f>
        <v>427.09787234042551</v>
      </c>
      <c r="C35" s="167">
        <f>IF(ISERROR(B35/SUM($B$32,$B$34,$B$35,$B$36,$B$38,$B$39)*100),0,B35/SUM($B$32,$B$34,$B$35,$B$36,$B$38,$B$39)*100)</f>
        <v>11.621710811984368</v>
      </c>
      <c r="D35" s="233"/>
      <c r="G35" s="15"/>
    </row>
    <row r="36" spans="1:7">
      <c r="A36" s="171" t="s">
        <v>75</v>
      </c>
      <c r="B36" s="33">
        <f>IF((($B$28-$B$32-$B$39-$B$77-$B$38)*C22/100)&lt;0,0,($B$28-$B$32-$B$39-$B$77-$B$38)*C22/100)</f>
        <v>121.60425531914895</v>
      </c>
      <c r="C36" s="167">
        <f>IF(ISERROR(B36/SUM($B$32,$B$34,$B$35,$B$36,$B$38,$B$39)*100),0,B36/SUM($B$32,$B$34,$B$35,$B$36,$B$38,$B$39)*100)</f>
        <v>3.3089593284122163</v>
      </c>
      <c r="D36" s="233"/>
      <c r="G36" s="15"/>
    </row>
    <row r="37" spans="1:7">
      <c r="A37" s="171" t="s">
        <v>76</v>
      </c>
      <c r="B37" s="34" t="s">
        <v>111</v>
      </c>
      <c r="C37" s="167"/>
      <c r="D37" s="173"/>
      <c r="G37" s="15"/>
    </row>
    <row r="38" spans="1:7">
      <c r="A38" s="171" t="s">
        <v>77</v>
      </c>
      <c r="B38" s="33">
        <f>IF((B24-(B29-B18)*0.1)&lt;0,0,B24-(B29-B18)*0.1)</f>
        <v>14</v>
      </c>
      <c r="C38" s="167">
        <f>IF(ISERROR(B38/SUM($B$32,$B$34,$B$35,$B$36,$B$38,$B$39)*100),0,B38/SUM($B$32,$B$34,$B$35,$B$36,$B$38,$B$39)*100)</f>
        <v>0.38095238095238093</v>
      </c>
      <c r="D38" s="234"/>
      <c r="G38" s="15"/>
    </row>
    <row r="39" spans="1:7">
      <c r="A39" s="171" t="s">
        <v>78</v>
      </c>
      <c r="B39" s="33">
        <f>IF((B25-(B29-B18))&lt;0,0,B25-(B29-B18)*0.9)</f>
        <v>104</v>
      </c>
      <c r="C39" s="167">
        <f>IF(ISERROR(B39/SUM($B$32,$B$34,$B$35,$B$36,$B$38,$B$39)*100),0,B39/SUM($B$32,$B$34,$B$35,$B$36,$B$38,$B$39)*100)</f>
        <v>2.8299319727891157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2860</v>
      </c>
      <c r="C44" s="34" t="s">
        <v>111</v>
      </c>
      <c r="D44" s="174"/>
    </row>
    <row r="45" spans="1:7">
      <c r="A45" s="171" t="s">
        <v>72</v>
      </c>
      <c r="B45" s="33" t="str">
        <f t="shared" si="0"/>
        <v>-</v>
      </c>
      <c r="C45" s="34" t="s">
        <v>111</v>
      </c>
      <c r="D45" s="174"/>
    </row>
    <row r="46" spans="1:7">
      <c r="A46" s="171" t="s">
        <v>73</v>
      </c>
      <c r="B46" s="33">
        <f t="shared" si="0"/>
        <v>148.29787234042553</v>
      </c>
      <c r="C46" s="34" t="s">
        <v>111</v>
      </c>
      <c r="D46" s="174"/>
    </row>
    <row r="47" spans="1:7">
      <c r="A47" s="171" t="s">
        <v>74</v>
      </c>
      <c r="B47" s="33">
        <f t="shared" si="0"/>
        <v>427.09787234042551</v>
      </c>
      <c r="C47" s="34" t="s">
        <v>111</v>
      </c>
      <c r="D47" s="174"/>
    </row>
    <row r="48" spans="1:7">
      <c r="A48" s="171" t="s">
        <v>75</v>
      </c>
      <c r="B48" s="33">
        <f t="shared" si="0"/>
        <v>121.60425531914895</v>
      </c>
      <c r="C48" s="33">
        <f>B48*10</f>
        <v>1216.0425531914896</v>
      </c>
      <c r="D48" s="234"/>
    </row>
    <row r="49" spans="1:6">
      <c r="A49" s="171" t="s">
        <v>76</v>
      </c>
      <c r="B49" s="33" t="str">
        <f t="shared" si="0"/>
        <v>-</v>
      </c>
      <c r="C49" s="34" t="s">
        <v>111</v>
      </c>
      <c r="D49" s="234"/>
    </row>
    <row r="50" spans="1:6">
      <c r="A50" s="171" t="s">
        <v>77</v>
      </c>
      <c r="B50" s="33">
        <f t="shared" si="0"/>
        <v>14</v>
      </c>
      <c r="C50" s="33">
        <f>B50*2</f>
        <v>28</v>
      </c>
      <c r="D50" s="234"/>
    </row>
    <row r="51" spans="1:6">
      <c r="A51" s="171" t="s">
        <v>78</v>
      </c>
      <c r="B51" s="33">
        <f t="shared" si="0"/>
        <v>104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8873.2281643909009</v>
      </c>
      <c r="C5" s="17">
        <f>IF(ISERROR('Eigen informatie GS &amp; warmtenet'!B58),0,'Eigen informatie GS &amp; warmtenet'!B58)</f>
        <v>0</v>
      </c>
      <c r="D5" s="30">
        <f>SUM(D6:D12)</f>
        <v>11464.324386439155</v>
      </c>
      <c r="E5" s="17">
        <f>SUM(E6:E12)</f>
        <v>162.18678967285575</v>
      </c>
      <c r="F5" s="17">
        <f>SUM(F6:F12)</f>
        <v>1613.2867545283175</v>
      </c>
      <c r="G5" s="18"/>
      <c r="H5" s="17"/>
      <c r="I5" s="17"/>
      <c r="J5" s="17">
        <f>SUM(J6:J12)</f>
        <v>2.6596535468873465E-2</v>
      </c>
      <c r="K5" s="17"/>
      <c r="L5" s="17"/>
      <c r="M5" s="17"/>
      <c r="N5" s="17">
        <f>SUM(N6:N12)</f>
        <v>1052.3605355121279</v>
      </c>
      <c r="O5" s="17">
        <f>B38*B39*B40</f>
        <v>3.1266666666666669</v>
      </c>
      <c r="P5" s="17">
        <f>B46*B47*B48/1000-B46*B47*B48/1000/B49</f>
        <v>19.066666666666666</v>
      </c>
      <c r="R5" s="32"/>
    </row>
    <row r="6" spans="1:18">
      <c r="A6" s="32" t="s">
        <v>54</v>
      </c>
      <c r="B6" s="37">
        <f>B26</f>
        <v>1459.3369549750701</v>
      </c>
      <c r="C6" s="33"/>
      <c r="D6" s="37">
        <f>IF(ISERROR(TER_kantoor_gas_kWh/1000),0,TER_kantoor_gas_kWh/1000)*0.902</f>
        <v>3141.7796214894174</v>
      </c>
      <c r="E6" s="33">
        <f>$C$26*'E Balans VL '!I12/100/3.6*1000000</f>
        <v>9.1466386659164855E-3</v>
      </c>
      <c r="F6" s="33">
        <f>$C$26*('E Balans VL '!L12+'E Balans VL '!N12)/100/3.6*1000000</f>
        <v>219.29756656910223</v>
      </c>
      <c r="G6" s="34"/>
      <c r="H6" s="33"/>
      <c r="I6" s="33"/>
      <c r="J6" s="33">
        <f>$C$26*('E Balans VL '!D12+'E Balans VL '!E12)/100/3.6*1000000</f>
        <v>0</v>
      </c>
      <c r="K6" s="33"/>
      <c r="L6" s="33"/>
      <c r="M6" s="33"/>
      <c r="N6" s="33">
        <f>$C$26*'E Balans VL '!Y12/100/3.6*1000000</f>
        <v>1.3956394269846846</v>
      </c>
      <c r="O6" s="33"/>
      <c r="P6" s="33"/>
      <c r="R6" s="32"/>
    </row>
    <row r="7" spans="1:18">
      <c r="A7" s="32" t="s">
        <v>53</v>
      </c>
      <c r="B7" s="37">
        <f t="shared" ref="B7:B12" si="0">B27</f>
        <v>877.98571527292404</v>
      </c>
      <c r="C7" s="33"/>
      <c r="D7" s="37">
        <f>IF(ISERROR(TER_horeca_gas_kWh/1000),0,TER_horeca_gas_kWh/1000)*0.902</f>
        <v>1020.5583844919015</v>
      </c>
      <c r="E7" s="33">
        <f>$C$27*'E Balans VL '!I9/100/3.6*1000000</f>
        <v>12.572609198205905</v>
      </c>
      <c r="F7" s="33">
        <f>$C$27*('E Balans VL '!L9+'E Balans VL '!N9)/100/3.6*1000000</f>
        <v>111.18194863803858</v>
      </c>
      <c r="G7" s="34"/>
      <c r="H7" s="33"/>
      <c r="I7" s="33"/>
      <c r="J7" s="33">
        <f>$C$27*('E Balans VL '!D9+'E Balans VL '!E9)/100/3.6*1000000</f>
        <v>0</v>
      </c>
      <c r="K7" s="33"/>
      <c r="L7" s="33"/>
      <c r="M7" s="33"/>
      <c r="N7" s="33">
        <f>$C$27*'E Balans VL '!Y9/100/3.6*1000000</f>
        <v>0.2524015352176216</v>
      </c>
      <c r="O7" s="33"/>
      <c r="P7" s="33"/>
      <c r="R7" s="32"/>
    </row>
    <row r="8" spans="1:18">
      <c r="A8" s="6" t="s">
        <v>52</v>
      </c>
      <c r="B8" s="37">
        <f t="shared" si="0"/>
        <v>3374.48475045138</v>
      </c>
      <c r="C8" s="33"/>
      <c r="D8" s="37">
        <f>IF(ISERROR(TER_handel_gas_kWh/1000),0,TER_handel_gas_kWh/1000)*0.902</f>
        <v>1291.4848080833633</v>
      </c>
      <c r="E8" s="33">
        <f>$C$28*'E Balans VL '!I13/100/3.6*1000000</f>
        <v>122.39214577605505</v>
      </c>
      <c r="F8" s="33">
        <f>$C$28*('E Balans VL '!L13+'E Balans VL '!N13)/100/3.6*1000000</f>
        <v>649.95993176742047</v>
      </c>
      <c r="G8" s="34"/>
      <c r="H8" s="33"/>
      <c r="I8" s="33"/>
      <c r="J8" s="33">
        <f>$C$28*('E Balans VL '!D13+'E Balans VL '!E13)/100/3.6*1000000</f>
        <v>0</v>
      </c>
      <c r="K8" s="33"/>
      <c r="L8" s="33"/>
      <c r="M8" s="33"/>
      <c r="N8" s="33">
        <f>$C$28*'E Balans VL '!Y13/100/3.6*1000000</f>
        <v>4.6744378136883071</v>
      </c>
      <c r="O8" s="33"/>
      <c r="P8" s="33"/>
      <c r="R8" s="32"/>
    </row>
    <row r="9" spans="1:18">
      <c r="A9" s="32" t="s">
        <v>51</v>
      </c>
      <c r="B9" s="37">
        <f t="shared" si="0"/>
        <v>74.065285368799408</v>
      </c>
      <c r="C9" s="33"/>
      <c r="D9" s="37">
        <f>IF(ISERROR(TER_gezond_gas_kWh/1000),0,TER_gezond_gas_kWh/1000)*0.902</f>
        <v>620.16516548272989</v>
      </c>
      <c r="E9" s="33">
        <f>$C$29*'E Balans VL '!I10/100/3.6*1000000</f>
        <v>4.637218126669636E-3</v>
      </c>
      <c r="F9" s="33">
        <f>$C$29*('E Balans VL '!L10+'E Balans VL '!N10)/100/3.6*1000000</f>
        <v>11.00262364885292</v>
      </c>
      <c r="G9" s="34"/>
      <c r="H9" s="33"/>
      <c r="I9" s="33"/>
      <c r="J9" s="33">
        <f>$C$29*('E Balans VL '!D10+'E Balans VL '!E10)/100/3.6*1000000</f>
        <v>0</v>
      </c>
      <c r="K9" s="33"/>
      <c r="L9" s="33"/>
      <c r="M9" s="33"/>
      <c r="N9" s="33">
        <f>$C$29*'E Balans VL '!Y10/100/3.6*1000000</f>
        <v>1.1456489807737273</v>
      </c>
      <c r="O9" s="33"/>
      <c r="P9" s="33"/>
      <c r="R9" s="32"/>
    </row>
    <row r="10" spans="1:18">
      <c r="A10" s="32" t="s">
        <v>50</v>
      </c>
      <c r="B10" s="37">
        <f t="shared" si="0"/>
        <v>991.48911860467706</v>
      </c>
      <c r="C10" s="33"/>
      <c r="D10" s="37">
        <f>IF(ISERROR(TER_ander_gas_kWh/1000),0,TER_ander_gas_kWh/1000)*0.902</f>
        <v>2550.8834577889634</v>
      </c>
      <c r="E10" s="33">
        <f>$C$30*'E Balans VL '!I14/100/3.6*1000000</f>
        <v>1.1818195995422662</v>
      </c>
      <c r="F10" s="33">
        <f>$C$30*('E Balans VL '!L14+'E Balans VL '!N14)/100/3.6*1000000</f>
        <v>259.41763157116071</v>
      </c>
      <c r="G10" s="34"/>
      <c r="H10" s="33"/>
      <c r="I10" s="33"/>
      <c r="J10" s="33">
        <f>$C$30*('E Balans VL '!D14+'E Balans VL '!E14)/100/3.6*1000000</f>
        <v>2.1521342234877321E-2</v>
      </c>
      <c r="K10" s="33"/>
      <c r="L10" s="33"/>
      <c r="M10" s="33"/>
      <c r="N10" s="33">
        <f>$C$30*'E Balans VL '!Y14/100/3.6*1000000</f>
        <v>841.9482981218631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2095.8663397180503</v>
      </c>
      <c r="C12" s="33"/>
      <c r="D12" s="37">
        <f>IF(ISERROR(TER_rest_gas_kWh/1000),0,TER_rest_gas_kWh/1000)*0.902</f>
        <v>2839.4529491027783</v>
      </c>
      <c r="E12" s="33">
        <f>$C$32*'E Balans VL '!I8/100/3.6*1000000</f>
        <v>26.026431242259935</v>
      </c>
      <c r="F12" s="33">
        <f>$C$32*('E Balans VL '!L8+'E Balans VL '!N8)/100/3.6*1000000</f>
        <v>362.42705233374255</v>
      </c>
      <c r="G12" s="34"/>
      <c r="H12" s="33"/>
      <c r="I12" s="33"/>
      <c r="J12" s="33">
        <f>$C$32*('E Balans VL '!D8+'E Balans VL '!E8)/100/3.6*1000000</f>
        <v>5.0751932339961458E-3</v>
      </c>
      <c r="K12" s="33"/>
      <c r="L12" s="33"/>
      <c r="M12" s="33"/>
      <c r="N12" s="33">
        <f>$C$32*'E Balans VL '!Y8/100/3.6*1000000</f>
        <v>202.94410963360036</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8897.9781643909009</v>
      </c>
      <c r="C16" s="21">
        <f t="shared" ca="1" si="1"/>
        <v>35.357142857142861</v>
      </c>
      <c r="D16" s="21">
        <f t="shared" ca="1" si="1"/>
        <v>11393.610100724869</v>
      </c>
      <c r="E16" s="21">
        <f t="shared" si="1"/>
        <v>162.18678967285575</v>
      </c>
      <c r="F16" s="21">
        <f t="shared" ca="1" si="1"/>
        <v>1613.2867545283175</v>
      </c>
      <c r="G16" s="21">
        <f t="shared" si="1"/>
        <v>0</v>
      </c>
      <c r="H16" s="21">
        <f t="shared" si="1"/>
        <v>0</v>
      </c>
      <c r="I16" s="21">
        <f t="shared" si="1"/>
        <v>0</v>
      </c>
      <c r="J16" s="21">
        <f t="shared" si="1"/>
        <v>2.6596535468873465E-2</v>
      </c>
      <c r="K16" s="21">
        <f t="shared" si="1"/>
        <v>0</v>
      </c>
      <c r="L16" s="21">
        <f t="shared" ca="1" si="1"/>
        <v>0</v>
      </c>
      <c r="M16" s="21">
        <f t="shared" si="1"/>
        <v>0</v>
      </c>
      <c r="N16" s="21">
        <f t="shared" ca="1" si="1"/>
        <v>1052.3605355121279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0.20878046410555309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1857.7240107626096</v>
      </c>
      <c r="C20" s="23">
        <f t="shared" ref="C20:P20" ca="1" si="2">C16*C18</f>
        <v>8.4025210084033635</v>
      </c>
      <c r="D20" s="23">
        <f t="shared" ca="1" si="2"/>
        <v>2301.5092403464237</v>
      </c>
      <c r="E20" s="23">
        <f t="shared" si="2"/>
        <v>36.816401255738256</v>
      </c>
      <c r="F20" s="23">
        <f t="shared" ca="1" si="2"/>
        <v>430.74756345906081</v>
      </c>
      <c r="G20" s="23">
        <f t="shared" si="2"/>
        <v>0</v>
      </c>
      <c r="H20" s="23">
        <f t="shared" si="2"/>
        <v>0</v>
      </c>
      <c r="I20" s="23">
        <f t="shared" si="2"/>
        <v>0</v>
      </c>
      <c r="J20" s="23">
        <f t="shared" si="2"/>
        <v>9.4151735559812062E-3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1459.3369549750701</v>
      </c>
      <c r="C26" s="39">
        <f>IF(ISERROR(B26*3.6/1000000/'E Balans VL '!Z12*100),0,B26*3.6/1000000/'E Balans VL '!Z12*100)</f>
        <v>3.0848071451702392E-2</v>
      </c>
      <c r="D26" s="237" t="s">
        <v>754</v>
      </c>
      <c r="F26" s="6"/>
    </row>
    <row r="27" spans="1:18">
      <c r="A27" s="231" t="s">
        <v>53</v>
      </c>
      <c r="B27" s="33">
        <f>IF(ISERROR(TER_horeca_ele_kWh/1000),0,TER_horeca_ele_kWh/1000)</f>
        <v>877.98571527292404</v>
      </c>
      <c r="C27" s="39">
        <f>IF(ISERROR(B27*3.6/1000000/'E Balans VL '!Z9*100),0,B27*3.6/1000000/'E Balans VL '!Z9*100)</f>
        <v>6.921128669298221E-2</v>
      </c>
      <c r="D27" s="237" t="s">
        <v>754</v>
      </c>
      <c r="F27" s="6"/>
    </row>
    <row r="28" spans="1:18">
      <c r="A28" s="171" t="s">
        <v>52</v>
      </c>
      <c r="B28" s="33">
        <f>IF(ISERROR(TER_handel_ele_kWh/1000),0,TER_handel_ele_kWh/1000)</f>
        <v>3374.48475045138</v>
      </c>
      <c r="C28" s="39">
        <f>IF(ISERROR(B28*3.6/1000000/'E Balans VL '!Z13*100),0,B28*3.6/1000000/'E Balans VL '!Z13*100)</f>
        <v>9.7941181904313793E-2</v>
      </c>
      <c r="D28" s="237" t="s">
        <v>754</v>
      </c>
      <c r="F28" s="6"/>
    </row>
    <row r="29" spans="1:18">
      <c r="A29" s="231" t="s">
        <v>51</v>
      </c>
      <c r="B29" s="33">
        <f>IF(ISERROR(TER_gezond_ele_kWh/1000),0,TER_gezond_ele_kWh/1000)</f>
        <v>74.065285368799408</v>
      </c>
      <c r="C29" s="39">
        <f>IF(ISERROR(B29*3.6/1000000/'E Balans VL '!Z10*100),0,B29*3.6/1000000/'E Balans VL '!Z10*100)</f>
        <v>7.8002907334228941E-3</v>
      </c>
      <c r="D29" s="237" t="s">
        <v>754</v>
      </c>
      <c r="F29" s="6"/>
    </row>
    <row r="30" spans="1:18">
      <c r="A30" s="231" t="s">
        <v>50</v>
      </c>
      <c r="B30" s="33">
        <f>IF(ISERROR(TER_ander_ele_kWh/1000),0,TER_ander_ele_kWh/1000)</f>
        <v>991.48911860467706</v>
      </c>
      <c r="C30" s="39">
        <f>IF(ISERROR(B30*3.6/1000000/'E Balans VL '!Z14*100),0,B30*3.6/1000000/'E Balans VL '!Z14*100)</f>
        <v>7.3132452738646311E-2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2095.8663397180503</v>
      </c>
      <c r="C32" s="39">
        <f>IF(ISERROR(B32*3.6/1000000/'E Balans VL '!Z8*100),0,B32*3.6/1000000/'E Balans VL '!Z8*100)</f>
        <v>1.7246197996109162E-2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4441.3966594809281</v>
      </c>
      <c r="C5" s="17">
        <f>IF(ISERROR('Eigen informatie GS &amp; warmtenet'!B59),0,'Eigen informatie GS &amp; warmtenet'!B59)</f>
        <v>0</v>
      </c>
      <c r="D5" s="30">
        <f>SUM(D6:D15)</f>
        <v>2141.4313736803792</v>
      </c>
      <c r="E5" s="17">
        <f>SUM(E6:E15)</f>
        <v>352.52517886842054</v>
      </c>
      <c r="F5" s="17">
        <f>SUM(F6:F15)</f>
        <v>1157.0190634420464</v>
      </c>
      <c r="G5" s="18"/>
      <c r="H5" s="17"/>
      <c r="I5" s="17"/>
      <c r="J5" s="17">
        <f>SUM(J6:J15)</f>
        <v>11.765456052999452</v>
      </c>
      <c r="K5" s="17"/>
      <c r="L5" s="17"/>
      <c r="M5" s="17"/>
      <c r="N5" s="17">
        <f>SUM(N6:N15)</f>
        <v>955.2972591286134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220.77053124493702</v>
      </c>
      <c r="C8" s="33"/>
      <c r="D8" s="37">
        <f>IF( ISERROR(IND_metaal_Gas_kWH/1000),0,IND_metaal_Gas_kWH/1000)*0.902</f>
        <v>286.45737474816633</v>
      </c>
      <c r="E8" s="33">
        <f>C30*'E Balans VL '!I18/100/3.6*1000000</f>
        <v>2.0297718125903699</v>
      </c>
      <c r="F8" s="33">
        <f>C30*'E Balans VL '!L18/100/3.6*1000000+C30*'E Balans VL '!N18/100/3.6*1000000</f>
        <v>20.700925635769512</v>
      </c>
      <c r="G8" s="34"/>
      <c r="H8" s="33"/>
      <c r="I8" s="33"/>
      <c r="J8" s="40">
        <f>C30*'E Balans VL '!D18/100/3.6*1000000+C30*'E Balans VL '!E18/100/3.6*1000000</f>
        <v>0</v>
      </c>
      <c r="K8" s="33"/>
      <c r="L8" s="33"/>
      <c r="M8" s="33"/>
      <c r="N8" s="33">
        <f>C30*'E Balans VL '!Y18/100/3.6*1000000</f>
        <v>3.1496564668756477</v>
      </c>
      <c r="O8" s="33"/>
      <c r="P8" s="33"/>
      <c r="R8" s="32"/>
    </row>
    <row r="9" spans="1:18">
      <c r="A9" s="6" t="s">
        <v>33</v>
      </c>
      <c r="B9" s="37">
        <f t="shared" si="0"/>
        <v>575.64448363914096</v>
      </c>
      <c r="C9" s="33"/>
      <c r="D9" s="37">
        <f>IF( ISERROR(IND_andere_gas_kWh/1000),0,IND_andere_gas_kWh/1000)*0.902</f>
        <v>684.33729978471433</v>
      </c>
      <c r="E9" s="33">
        <f>C31*'E Balans VL '!I19/100/3.6*1000000</f>
        <v>168.27208904402116</v>
      </c>
      <c r="F9" s="33">
        <f>C31*'E Balans VL '!L19/100/3.6*1000000+C31*'E Balans VL '!N19/100/3.6*1000000</f>
        <v>462.57391488778188</v>
      </c>
      <c r="G9" s="34"/>
      <c r="H9" s="33"/>
      <c r="I9" s="33"/>
      <c r="J9" s="40">
        <f>C31*'E Balans VL '!D19/100/3.6*1000000+C31*'E Balans VL '!E19/100/3.6*1000000</f>
        <v>0</v>
      </c>
      <c r="K9" s="33"/>
      <c r="L9" s="33"/>
      <c r="M9" s="33"/>
      <c r="N9" s="33">
        <f>C31*'E Balans VL '!Y19/100/3.6*1000000</f>
        <v>190.20186500734519</v>
      </c>
      <c r="O9" s="33"/>
      <c r="P9" s="33"/>
      <c r="R9" s="32"/>
    </row>
    <row r="10" spans="1:18">
      <c r="A10" s="6" t="s">
        <v>41</v>
      </c>
      <c r="B10" s="37">
        <f t="shared" si="0"/>
        <v>358.523949888571</v>
      </c>
      <c r="C10" s="33"/>
      <c r="D10" s="37">
        <f>IF( ISERROR(IND_voed_gas_kWh/1000),0,IND_voed_gas_kWh/1000)*0.902</f>
        <v>226.72593987116292</v>
      </c>
      <c r="E10" s="33">
        <f>C32*'E Balans VL '!I20/100/3.6*1000000</f>
        <v>0.75846297496895498</v>
      </c>
      <c r="F10" s="33">
        <f>C32*'E Balans VL '!L20/100/3.6*1000000+C32*'E Balans VL '!N20/100/3.6*1000000</f>
        <v>22.795318955390883</v>
      </c>
      <c r="G10" s="34"/>
      <c r="H10" s="33"/>
      <c r="I10" s="33"/>
      <c r="J10" s="40">
        <f>C32*'E Balans VL '!D20/100/3.6*1000000+C32*'E Balans VL '!E20/100/3.6*1000000</f>
        <v>0</v>
      </c>
      <c r="K10" s="33"/>
      <c r="L10" s="33"/>
      <c r="M10" s="33"/>
      <c r="N10" s="33">
        <f>C32*'E Balans VL '!Y20/100/3.6*1000000</f>
        <v>24.741690543098475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3286.4576947082796</v>
      </c>
      <c r="C15" s="33"/>
      <c r="D15" s="37">
        <f>IF( ISERROR(IND_rest_gas_kWh/1000),0,IND_rest_gas_kWh/1000)*0.902</f>
        <v>943.91075927633585</v>
      </c>
      <c r="E15" s="33">
        <f>C37*'E Balans VL '!I15/100/3.6*1000000</f>
        <v>181.46485503684005</v>
      </c>
      <c r="F15" s="33">
        <f>C37*'E Balans VL '!L15/100/3.6*1000000+C37*'E Balans VL '!N15/100/3.6*1000000</f>
        <v>650.94890396310427</v>
      </c>
      <c r="G15" s="34"/>
      <c r="H15" s="33"/>
      <c r="I15" s="33"/>
      <c r="J15" s="40">
        <f>C37*'E Balans VL '!D15/100/3.6*1000000+C37*'E Balans VL '!E15/100/3.6*1000000</f>
        <v>11.765456052999452</v>
      </c>
      <c r="K15" s="33"/>
      <c r="L15" s="33"/>
      <c r="M15" s="33"/>
      <c r="N15" s="33">
        <f>C37*'E Balans VL '!Y15/100/3.6*1000000</f>
        <v>737.20404711129402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4441.3966594809281</v>
      </c>
      <c r="C18" s="21">
        <f>C5+C16</f>
        <v>0</v>
      </c>
      <c r="D18" s="21">
        <f>MAX((D5+D16),0)</f>
        <v>2141.4313736803792</v>
      </c>
      <c r="E18" s="21">
        <f>MAX((E5+E16),0)</f>
        <v>352.52517886842054</v>
      </c>
      <c r="F18" s="21">
        <f>MAX((F5+F16),0)</f>
        <v>1157.0190634420464</v>
      </c>
      <c r="G18" s="21"/>
      <c r="H18" s="21"/>
      <c r="I18" s="21"/>
      <c r="J18" s="21">
        <f>MAX((J5+J16),0)</f>
        <v>11.765456052999452</v>
      </c>
      <c r="K18" s="21"/>
      <c r="L18" s="21">
        <f>MAX((L5+L16),0)</f>
        <v>0</v>
      </c>
      <c r="M18" s="21"/>
      <c r="N18" s="21">
        <f>MAX((N5+N16),0)</f>
        <v>955.2972591286134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0.20878046410555309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927.27685584328128</v>
      </c>
      <c r="C22" s="23">
        <f ca="1">C18*C20</f>
        <v>0</v>
      </c>
      <c r="D22" s="23">
        <f>D18*D20</f>
        <v>432.56913748343663</v>
      </c>
      <c r="E22" s="23">
        <f>E18*E20</f>
        <v>80.023215603131462</v>
      </c>
      <c r="F22" s="23">
        <f>F18*F20</f>
        <v>308.92408993902643</v>
      </c>
      <c r="G22" s="23"/>
      <c r="H22" s="23"/>
      <c r="I22" s="23"/>
      <c r="J22" s="23">
        <f>J18*J20</f>
        <v>4.1649714427618063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220.77053124493702</v>
      </c>
      <c r="C30" s="39">
        <f>IF(ISERROR(B30*3.6/1000000/'E Balans VL '!Z18*100),0,B30*3.6/1000000/'E Balans VL '!Z18*100)</f>
        <v>1.2511632098317894E-2</v>
      </c>
      <c r="D30" s="237" t="s">
        <v>754</v>
      </c>
    </row>
    <row r="31" spans="1:18">
      <c r="A31" s="6" t="s">
        <v>33</v>
      </c>
      <c r="B31" s="37">
        <f>IF( ISERROR(IND_ander_ele_kWh/1000),0,IND_ander_ele_kWh/1000)</f>
        <v>575.64448363914096</v>
      </c>
      <c r="C31" s="39">
        <f>IF(ISERROR(B31*3.6/1000000/'E Balans VL '!Z19*100),0,B31*3.6/1000000/'E Balans VL '!Z19*100)</f>
        <v>2.6108836835959607E-2</v>
      </c>
      <c r="D31" s="237" t="s">
        <v>754</v>
      </c>
    </row>
    <row r="32" spans="1:18">
      <c r="A32" s="171" t="s">
        <v>41</v>
      </c>
      <c r="B32" s="37">
        <f>IF( ISERROR(IND_voed_ele_kWh/1000),0,IND_voed_ele_kWh/1000)</f>
        <v>358.523949888571</v>
      </c>
      <c r="C32" s="39">
        <f>IF(ISERROR(B32*3.6/1000000/'E Balans VL '!Z20*100),0,B32*3.6/1000000/'E Balans VL '!Z20*100)</f>
        <v>1.1090773331362054E-2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3286.4576947082796</v>
      </c>
      <c r="C37" s="39">
        <f>IF(ISERROR(B37*3.6/1000000/'E Balans VL '!Z15*100),0,B37*3.6/1000000/'E Balans VL '!Z15*100)</f>
        <v>2.6049213384469881E-2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1517.635557825241</v>
      </c>
      <c r="C5" s="17">
        <f>'Eigen informatie GS &amp; warmtenet'!B60</f>
        <v>0</v>
      </c>
      <c r="D5" s="30">
        <f>IF(ISERROR(SUM(LB_lb_gas_kWh,LB_rest_gas_kWh,onbekend_gas_kWh)/1000),0,SUM(LB_lb_gas_kWh,LB_rest_gas_kWh,onbekend_gas_kWh)/1000)*0.902</f>
        <v>32654.505481301992</v>
      </c>
      <c r="E5" s="17">
        <f>B17*'E Balans VL '!I25/3.6*1000000/100</f>
        <v>44.607944438501555</v>
      </c>
      <c r="F5" s="17">
        <f>B17*('E Balans VL '!L25/3.6*1000000+'E Balans VL '!N25/3.6*1000000)/100</f>
        <v>6322.3877251788554</v>
      </c>
      <c r="G5" s="18"/>
      <c r="H5" s="17"/>
      <c r="I5" s="17"/>
      <c r="J5" s="17">
        <f>('E Balans VL '!D25+'E Balans VL '!E25)/3.6*1000000*landbouw!B17/100</f>
        <v>219.87280073220077</v>
      </c>
      <c r="K5" s="17"/>
      <c r="L5" s="17">
        <f>L6*(-1)</f>
        <v>0</v>
      </c>
      <c r="M5" s="17"/>
      <c r="N5" s="17">
        <f>N6*(-1)</f>
        <v>0</v>
      </c>
      <c r="O5" s="17"/>
      <c r="P5" s="17"/>
      <c r="R5" s="32"/>
    </row>
    <row r="6" spans="1:18">
      <c r="A6" s="16" t="s">
        <v>488</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1517.635557825241</v>
      </c>
      <c r="C8" s="21">
        <f>C5+C6</f>
        <v>12947.142857142855</v>
      </c>
      <c r="D8" s="21">
        <f>MAX((D5+D6),0)</f>
        <v>6760.2197670162823</v>
      </c>
      <c r="E8" s="21">
        <f>MAX((E5+E6),0)</f>
        <v>44.607944438501555</v>
      </c>
      <c r="F8" s="21">
        <f>MAX((F5+F6),0)</f>
        <v>6322.3877251788554</v>
      </c>
      <c r="G8" s="21"/>
      <c r="H8" s="21"/>
      <c r="I8" s="21"/>
      <c r="J8" s="21">
        <f>MAX((J5+J6),0)</f>
        <v>219.87280073220077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0.20878046410555309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316.85265610584378</v>
      </c>
      <c r="C12" s="23">
        <f ca="1">C8*C10</f>
        <v>3076.8504201680671</v>
      </c>
      <c r="D12" s="23">
        <f>D8*D10</f>
        <v>1365.5643929372891</v>
      </c>
      <c r="E12" s="23">
        <f>E8*E10</f>
        <v>10.126003387539853</v>
      </c>
      <c r="F12" s="23">
        <f>F8*F10</f>
        <v>1688.0775226227545</v>
      </c>
      <c r="G12" s="23"/>
      <c r="H12" s="23"/>
      <c r="I12" s="23"/>
      <c r="J12" s="23">
        <f>J8*J10</f>
        <v>77.834971459199068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0.21535724709175535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236.4915345806813</v>
      </c>
      <c r="C26" s="247">
        <f>B26*'GWP N2O_CH4'!B5</f>
        <v>4966.3222261943074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89.141844973469318</v>
      </c>
      <c r="C27" s="247">
        <f>B27*'GWP N2O_CH4'!B5</f>
        <v>1871.9787444428557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2.5904682850712257</v>
      </c>
      <c r="C28" s="247">
        <f>B28*'GWP N2O_CH4'!B4</f>
        <v>803.04516837207996</v>
      </c>
      <c r="D28" s="50"/>
    </row>
    <row r="29" spans="1:4">
      <c r="A29" s="41" t="s">
        <v>277</v>
      </c>
      <c r="B29" s="247">
        <f>B34*'ha_N2O bodem landbouw'!B4</f>
        <v>7.8657193134690235</v>
      </c>
      <c r="C29" s="247">
        <f>B29*'GWP N2O_CH4'!B4</f>
        <v>2438.3729871753972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1.7949300408589891E-3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7.5463707966847912E-5</v>
      </c>
      <c r="C5" s="463" t="s">
        <v>211</v>
      </c>
      <c r="D5" s="448">
        <f>SUM(D6:D11)</f>
        <v>2.5490981423610871E-4</v>
      </c>
      <c r="E5" s="448">
        <f>SUM(E6:E11)</f>
        <v>3.4201012106701271E-4</v>
      </c>
      <c r="F5" s="461" t="s">
        <v>211</v>
      </c>
      <c r="G5" s="448">
        <f>SUM(G6:G11)</f>
        <v>0.11107567105920772</v>
      </c>
      <c r="H5" s="448">
        <f>SUM(H6:H11)</f>
        <v>2.8791016460226051E-2</v>
      </c>
      <c r="I5" s="463" t="s">
        <v>211</v>
      </c>
      <c r="J5" s="463" t="s">
        <v>211</v>
      </c>
      <c r="K5" s="463" t="s">
        <v>211</v>
      </c>
      <c r="L5" s="463" t="s">
        <v>211</v>
      </c>
      <c r="M5" s="448">
        <f>SUM(M6:M11)</f>
        <v>7.3441241889464232E-3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6.2915628072766067E-5</v>
      </c>
      <c r="C6" s="449"/>
      <c r="D6" s="962">
        <f>vkm_2011_GW_PW*SUMIFS(TableVerdeelsleutelVkm[CNG],TableVerdeelsleutelVkm[Voertuigtype],"Lichte voertuigen")*SUMIFS(TableECFTransport[EnergieConsumptieFactor (PJ per km)],TableECFTransport[Index],CONCATENATE($A6,"_CNG_CNG"))</f>
        <v>1.8871077393241167E-4</v>
      </c>
      <c r="E6" s="962">
        <f>vkm_2011_GW_PW*SUMIFS(TableVerdeelsleutelVkm[LPG],TableVerdeelsleutelVkm[Voertuigtype],"Lichte voertuigen")*SUMIFS(TableECFTransport[EnergieConsumptieFactor (PJ per km)],TableECFTransport[Index],CONCATENATE($A6,"_LPG_LPG"))</f>
        <v>2.5780602415845732E-4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6.6656819835546E-2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2.1459924994636791E-2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4.5313207082158333E-3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1.8820242931396454E-2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5.7350243487903317E-6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1.0997925042827022E-3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1.2220118435000346E-5</v>
      </c>
      <c r="C8" s="449"/>
      <c r="D8" s="451">
        <f>vkm_2011_NGW_PW*SUMIFS(TableVerdeelsleutelVkm[CNG],TableVerdeelsleutelVkm[Voertuigtype],"Lichte voertuigen")*SUMIFS(TableECFTransport[EnergieConsumptieFactor (PJ per km)],TableECFTransport[Index],CONCATENATE($A8,"_CNG_CNG"))</f>
        <v>6.5170051959805979E-5</v>
      </c>
      <c r="E8" s="451">
        <f>vkm_2011_NGW_PW*SUMIFS(TableVerdeelsleutelVkm[LPG],TableVerdeelsleutelVkm[Voertuigtype],"Lichte voertuigen")*SUMIFS(TableECFTransport[EnergieConsumptieFactor (PJ per km)],TableECFTransport[Index],CONCATENATE($A8,"_LPG_LPG"))</f>
        <v>8.2453412693839014E-5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1.9866747350030613E-2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7.2019145152522829E-3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1.3744493330640323E-3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4.858294759266751E-3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1.3937162169253823E-6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2.8390004033669852E-4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3.2796145908149768E-7</v>
      </c>
      <c r="C10" s="449"/>
      <c r="D10" s="451">
        <f>vkm_2011_SW_PW*SUMIFS(TableVerdeelsleutelVkm[CNG],TableVerdeelsleutelVkm[Voertuigtype],"Lichte voertuigen")*SUMIFS(TableECFTransport[EnergieConsumptieFactor (PJ per km)],TableECFTransport[Index],CONCATENATE($A10,"_CNG_CNG"))</f>
        <v>1.0289883438910541E-6</v>
      </c>
      <c r="E10" s="451">
        <f>vkm_2011_SW_PW*SUMIFS(TableVerdeelsleutelVkm[LPG],TableVerdeelsleutelVkm[Voertuigtype],"Lichte voertuigen")*SUMIFS(TableECFTransport[EnergieConsumptieFactor (PJ per km)],TableECFTransport[Index],CONCATENATE($A10,"_LPG_LPG"))</f>
        <v>1.7506842147163573E-6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4.0353667801312174E-4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1.2189353670728943E-4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2.7194300004365145E-5</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4.7002950495479614E-4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1.5467306397294602E-7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2.7467303042791893E-5</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20.962141101902198</v>
      </c>
      <c r="C14" s="21"/>
      <c r="D14" s="21">
        <f t="shared" ref="D14:M14" si="0">((D5)*10^9/3600)+D12</f>
        <v>70.808281732252425</v>
      </c>
      <c r="E14" s="21">
        <f t="shared" si="0"/>
        <v>95.002811407503529</v>
      </c>
      <c r="F14" s="21"/>
      <c r="G14" s="21">
        <f t="shared" si="0"/>
        <v>30854.353072002144</v>
      </c>
      <c r="H14" s="21">
        <f t="shared" si="0"/>
        <v>7997.5045722850145</v>
      </c>
      <c r="I14" s="21"/>
      <c r="J14" s="21"/>
      <c r="K14" s="21"/>
      <c r="L14" s="21"/>
      <c r="M14" s="21">
        <f t="shared" si="0"/>
        <v>2040.034496929562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0.20878046410555309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4.3764855479012308</v>
      </c>
      <c r="C18" s="23"/>
      <c r="D18" s="23">
        <f t="shared" ref="D18:M18" si="1">D14*D16</f>
        <v>14.303272909914991</v>
      </c>
      <c r="E18" s="23">
        <f t="shared" si="1"/>
        <v>21.5656381895033</v>
      </c>
      <c r="F18" s="23"/>
      <c r="G18" s="23">
        <f t="shared" si="1"/>
        <v>8238.1122702245739</v>
      </c>
      <c r="H18" s="23">
        <f t="shared" si="1"/>
        <v>1991.3786384989687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1.5564359519856079E-3</v>
      </c>
      <c r="H50" s="321">
        <f t="shared" si="2"/>
        <v>0</v>
      </c>
      <c r="I50" s="321">
        <f t="shared" si="2"/>
        <v>0</v>
      </c>
      <c r="J50" s="321">
        <f t="shared" si="2"/>
        <v>0</v>
      </c>
      <c r="K50" s="321">
        <f t="shared" si="2"/>
        <v>0</v>
      </c>
      <c r="L50" s="321">
        <f t="shared" si="2"/>
        <v>0</v>
      </c>
      <c r="M50" s="321">
        <f t="shared" si="2"/>
        <v>8.8398691067384798E-5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1.5564359519856079E-3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8.8398691067384798E-5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432.34331999600221</v>
      </c>
      <c r="H54" s="21">
        <f t="shared" si="3"/>
        <v>0</v>
      </c>
      <c r="I54" s="21">
        <f t="shared" si="3"/>
        <v>0</v>
      </c>
      <c r="J54" s="21">
        <f t="shared" si="3"/>
        <v>0</v>
      </c>
      <c r="K54" s="21">
        <f t="shared" si="3"/>
        <v>0</v>
      </c>
      <c r="L54" s="21">
        <f t="shared" si="3"/>
        <v>0</v>
      </c>
      <c r="M54" s="21">
        <f t="shared" si="3"/>
        <v>24.555191963162446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0.20878046410555309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115.4356664389326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2351.3041837722781</v>
      </c>
      <c r="C6" s="1263"/>
      <c r="D6" s="1248"/>
      <c r="E6" s="1248"/>
      <c r="F6" s="1266"/>
      <c r="G6" s="1269"/>
      <c r="H6" s="1260"/>
      <c r="I6" s="1248"/>
      <c r="J6" s="1248"/>
      <c r="K6" s="1248"/>
      <c r="L6" s="1252"/>
      <c r="M6" s="575"/>
      <c r="N6" s="1226"/>
      <c r="O6" s="1227"/>
      <c r="Q6" s="573"/>
      <c r="R6" s="1214"/>
      <c r="S6" s="1214"/>
    </row>
    <row r="7" spans="1:19" s="563" customFormat="1">
      <c r="A7" s="576" t="s">
        <v>252</v>
      </c>
      <c r="B7" s="577">
        <f>N57</f>
        <v>9087.7499999999982</v>
      </c>
      <c r="C7" s="578">
        <f>B100</f>
        <v>10691.470588235292</v>
      </c>
      <c r="D7" s="579"/>
      <c r="E7" s="579">
        <f>E100</f>
        <v>0</v>
      </c>
      <c r="F7" s="580"/>
      <c r="G7" s="581"/>
      <c r="H7" s="579">
        <f>I100</f>
        <v>0</v>
      </c>
      <c r="I7" s="579">
        <f>G100+F100</f>
        <v>0</v>
      </c>
      <c r="J7" s="579">
        <f>H100+D100+C100</f>
        <v>0</v>
      </c>
      <c r="K7" s="579"/>
      <c r="L7" s="582"/>
      <c r="M7" s="583">
        <f>C7*$C$11+D7*$D$11+E7*$E$11+F7*$F$11+G7*$G$11+H7*$H$11+I7*$I$11+J7*$J$11</f>
        <v>2159.677058823529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11439.054183772276</v>
      </c>
      <c r="C9" s="594">
        <f t="shared" ref="C9:L9" si="0">SUM(C7:C8)</f>
        <v>10691.470588235292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2159.677058823529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12982.499999999998</v>
      </c>
      <c r="C16" s="610">
        <f>B101</f>
        <v>15273.529411764704</v>
      </c>
      <c r="D16" s="611"/>
      <c r="E16" s="611">
        <f>E101</f>
        <v>0</v>
      </c>
      <c r="F16" s="612"/>
      <c r="G16" s="613"/>
      <c r="H16" s="610">
        <f>I101</f>
        <v>0</v>
      </c>
      <c r="I16" s="611">
        <f>G101+F101</f>
        <v>0</v>
      </c>
      <c r="J16" s="611">
        <f>H101+D101+C101</f>
        <v>0</v>
      </c>
      <c r="K16" s="611"/>
      <c r="L16" s="614"/>
      <c r="M16" s="615">
        <f>C16*$C$21+E16*$E$21+H16*$H$21+I16*$I$21+J16*$J$21+D16*$D$21+F16*$F$21+G16*$G$21+K16*$K$21+L16*$L$21</f>
        <v>3085.2529411764704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12982.499999999998</v>
      </c>
      <c r="C19" s="593">
        <f>SUM(C16:C18)</f>
        <v>15273.529411764704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3085.2529411764704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13012</v>
      </c>
      <c r="C27" s="851">
        <v>2270</v>
      </c>
      <c r="D27" s="672" t="s">
        <v>844</v>
      </c>
      <c r="E27" s="671" t="s">
        <v>845</v>
      </c>
      <c r="F27" s="671" t="s">
        <v>846</v>
      </c>
      <c r="G27" s="671" t="s">
        <v>847</v>
      </c>
      <c r="H27" s="671" t="s">
        <v>848</v>
      </c>
      <c r="I27" s="671" t="s">
        <v>849</v>
      </c>
      <c r="J27" s="850">
        <v>36797</v>
      </c>
      <c r="K27" s="850">
        <v>39356</v>
      </c>
      <c r="L27" s="671" t="s">
        <v>850</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25.5">
      <c r="A28" s="624"/>
      <c r="B28" s="851">
        <v>13012</v>
      </c>
      <c r="C28" s="851">
        <v>2270</v>
      </c>
      <c r="D28" s="672" t="s">
        <v>851</v>
      </c>
      <c r="E28" s="671" t="s">
        <v>852</v>
      </c>
      <c r="F28" s="671" t="s">
        <v>853</v>
      </c>
      <c r="G28" s="671" t="s">
        <v>847</v>
      </c>
      <c r="H28" s="671" t="s">
        <v>848</v>
      </c>
      <c r="I28" s="671" t="s">
        <v>852</v>
      </c>
      <c r="J28" s="850">
        <v>39989</v>
      </c>
      <c r="K28" s="850">
        <v>40014</v>
      </c>
      <c r="L28" s="671" t="s">
        <v>850</v>
      </c>
      <c r="M28" s="671">
        <v>2014</v>
      </c>
      <c r="N28" s="671">
        <v>9062.9999999999982</v>
      </c>
      <c r="O28" s="671">
        <v>12947.142857142855</v>
      </c>
      <c r="P28" s="671">
        <v>25894.28571428571</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2019.5</v>
      </c>
      <c r="N57" s="629">
        <f>SUM(N27:N56)</f>
        <v>9087.7499999999982</v>
      </c>
      <c r="O57" s="629">
        <f t="shared" ref="O57:W57" si="2">SUM(O27:O56)</f>
        <v>12982.499999999998</v>
      </c>
      <c r="P57" s="629">
        <f t="shared" si="2"/>
        <v>25964.999999999996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2014</v>
      </c>
      <c r="N60" s="634">
        <f t="shared" ref="N60:W60" si="4">SUMIF($Z$27:$Z$56,"landbouw",N27:N56)</f>
        <v>9062.9999999999982</v>
      </c>
      <c r="O60" s="634">
        <f t="shared" si="4"/>
        <v>12947.142857142855</v>
      </c>
      <c r="P60" s="634">
        <f t="shared" si="4"/>
        <v>25894.28571428571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10691.470588235292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15273.529411764704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2019-01-01T21:17:37Z</dcterms:modified>
</cp:coreProperties>
</file>