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29" i="20"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5" i="48"/>
  <c r="Q4"/>
  <c r="N22"/>
  <c r="R11" i="14"/>
  <c r="J21" i="48"/>
  <c r="C18" i="15" l="1"/>
  <c r="C20" s="1"/>
  <c r="D36" i="14" s="1"/>
  <c r="C20" i="16"/>
  <c r="C22" s="1"/>
  <c r="D39" i="14" s="1"/>
  <c r="C17" i="19"/>
  <c r="C19" s="1"/>
  <c r="D35" i="14" s="1"/>
  <c r="C16"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<sst xmlns="http://schemas.openxmlformats.org/spreadsheetml/2006/main" count="2146" uniqueCount="864">
  <si>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</si>
  <si>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</si>
  <si>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</si>
  <si>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</si>
  <si>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</si>
  <si>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</si>
  <si>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</si>
  <si>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</si>
  <si>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</si>
  <si>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</si>
  <si>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</si>
  <si>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</si>
  <si>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</si>
  <si>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</si>
  <si>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</si>
  <si>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</si>
  <si>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</si>
  <si>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</si>
  <si>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</si>
  <si>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</si>
  <si>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</si>
  <si>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</si>
  <si>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</si>
  <si>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</si>
  <si>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</si>
  <si>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</si>
  <si>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</si>
  <si>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</si>
  <si>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</si>
  <si>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</si>
  <si>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</si>
  <si>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</si>
  <si>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</si>
  <si>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</si>
  <si>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</si>
  <si>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</si>
  <si>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</si>
  <si>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</si>
  <si>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</si>
  <si>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</si>
  <si>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</si>
  <si>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</si>
  <si>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</si>
  <si>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</si>
  <si>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</si>
  <si>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</si>
  <si>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</si>
  <si>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</si>
  <si>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</si>
  <si>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</si>
  <si>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</si>
  <si>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</si>
  <si>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</si>
  <si>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</si>
  <si>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</si>
  <si>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</si>
  <si>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</si>
  <si>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</si>
  <si>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</si>
  <si>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</si>
  <si>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</si>
  <si>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</si>
  <si>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</si>
  <si>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</si>
  <si>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</si>
  <si>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</si>
  <si>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</si>
  <si>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</si>
  <si>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</si>
  <si>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</si>
  <si>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</si>
  <si>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</si>
  <si>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</si>
  <si>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</si>
  <si>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</si>
  <si>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</si>
  <si>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</si>
  <si>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</si>
  <si>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</si>
  <si>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</si>
  <si>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</si>
  <si>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</si>
  <si>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</si>
  <si>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</si>
  <si>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</si>
  <si>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</si>
  <si>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</si>
  <si>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</si>
  <si>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</si>
  <si>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</si>
  <si>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</si>
  <si>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</si>
  <si>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</si>
  <si>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</si>
  <si>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</si>
  <si>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</si>
  <si>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</si>
  <si>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</si>
  <si>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</si>
  <si>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</si>
  <si>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</si>
  <si>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</si>
  <si>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</si>
  <si>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</si>
  <si>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</si>
  <si>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</si>
  <si>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</si>
  <si>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</si>
  <si>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</si>
  <si>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</si>
  <si>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</si>
  <si>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</si>
  <si>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</si>
  <si>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</si>
  <si>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</si>
  <si>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</si>
  <si>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</si>
  <si>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</si>
  <si>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</si>
  <si>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</si>
  <si>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</si>
  <si>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</si>
  <si>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</si>
  <si>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</si>
  <si>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</si>
  <si>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</si>
  <si>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</si>
  <si>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</si>
  <si>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</si>
  <si>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</si>
  <si>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</si>
  <si>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</si>
  <si>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</si>
  <si>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</si>
  <si>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</si>
  <si>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</si>
  <si>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</si>
  <si>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</si>
  <si>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</si>
  <si>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</si>
  <si>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</si>
  <si>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</si>
  <si>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</si>
  <si>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</si>
  <si>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</si>
  <si>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</si>
  <si>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</si>
  <si>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</si>
  <si>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</si>
  <si>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</si>
  <si>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</si>
  <si>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</si>
  <si>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</si>
  <si>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</si>
  <si>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</si>
  <si>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</si>
  <si>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</si>
  <si>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</si>
  <si>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</si>
  <si>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</si>
  <si>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</si>
  <si>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</si>
  <si>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</si>
  <si>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</si>
  <si>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</si>
  <si>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</si>
  <si>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</si>
  <si>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</si>
  <si>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</si>
  <si>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</si>
  <si>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</si>
  <si>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</si>
  <si>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</si>
  <si>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</si>
  <si>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</si>
  <si>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</si>
  <si>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</si>
  <si>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</si>
  <si>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</si>
  <si>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</si>
  <si>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</si>
  <si>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</si>
  <si>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</si>
  <si>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</si>
  <si>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</si>
  <si>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</si>
  <si>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</si>
  <si>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</si>
  <si>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</si>
  <si>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</si>
  <si>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</si>
  <si>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</si>
  <si>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</si>
  <si>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</si>
  <si>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</si>
  <si>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</si>
  <si>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</si>
  <si>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</si>
  <si>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</si>
  <si>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</si>
  <si>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</si>
  <si>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</si>
  <si>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</si>
  <si>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</si>
  <si>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</si>
  <si>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</si>
  <si>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</si>
  <si>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</si>
  <si>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</si>
  <si>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</si>
  <si>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</si>
  <si>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</si>
  <si>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</si>
  <si>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</si>
  <si>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</si>
  <si>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</si>
  <si>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</si>
  <si>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</si>
  <si>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</si>
  <si>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</si>
  <si>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</si>
  <si>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</si>
  <si>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</si>
  <si>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</si>
  <si>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</si>
  <si>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</si>
  <si>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</si>
  <si>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</si>
  <si>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</si>
  <si>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</si>
  <si>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</si>
  <si>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</si>
  <si>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</si>
  <si>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</si>
  <si>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</si>
  <si>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</si>
  <si>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</si>
  <si>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</si>
  <si>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</si>
  <si>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</si>
  <si>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</si>
  <si>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</si>
  <si>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</si>
  <si>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</si>
  <si>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</si>
  <si>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</si>
  <si>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</si>
  <si>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</si>
  <si>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</si>
  <si>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</si>
  <si>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</si>
  <si>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</si>
  <si>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</si>
  <si>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</si>
  <si>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</si>
  <si>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</si>
  <si>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</si>
  <si>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</si>
  <si>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</si>
  <si>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</si>
  <si>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</si>
  <si>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</si>
  <si>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</si>
  <si>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</si>
  <si>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</si>
  <si>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</si>
  <si>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</si>
  <si>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</si>
  <si>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</si>
  <si>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</si>
  <si>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</si>
  <si>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</si>
  <si>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</si>
  <si>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</si>
  <si>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</si>
  <si>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</si>
  <si>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</si>
  <si>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</si>
  <si>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</si>
  <si>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</si>
  <si>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</si>
  <si>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</si>
  <si>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</si>
  <si>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</si>
  <si>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</si>
  <si>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</si>
  <si>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</si>
  <si>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</si>
  <si>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</si>
  <si>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</si>
  <si>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</si>
  <si>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</si>
  <si>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</si>
  <si>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</si>
  <si>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</si>
  <si>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</si>
  <si>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</si>
  <si>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</si>
  <si>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</si>
  <si>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</si>
  <si>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</si>
  <si>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</si>
  <si>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</si>
  <si>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</si>
  <si>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</si>
  <si>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</si>
  <si>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</si>
  <si>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</si>
  <si>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</si>
  <si>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</si>
  <si>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</si>
  <si>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</si>
  <si>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</si>
  <si>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</si>
  <si>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</si>
  <si>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</si>
  <si>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</si>
  <si>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</si>
  <si>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</si>
  <si>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</si>
  <si>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</si>
  <si>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</si>
  <si>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</si>
  <si>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</si>
  <si>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</si>
  <si>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</si>
  <si>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</si>
  <si>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</si>
  <si>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</si>
  <si>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</si>
  <si>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</si>
  <si>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</si>
  <si>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</si>
  <si>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</si>
  <si>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</si>
  <si>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</si>
  <si>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</si>
  <si>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</si>
  <si>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</si>
  <si>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</si>
  <si>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</si>
  <si>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</si>
  <si>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</si>
  <si>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</si>
  <si>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</si>
  <si>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</si>
  <si>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</si>
  <si>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</si>
  <si>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</si>
  <si>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</si>
  <si>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</si>
  <si>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</si>
  <si>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</si>
  <si>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</si>
  <si>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</si>
  <si>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</si>
  <si>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</si>
  <si>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</si>
  <si>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</si>
  <si>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</si>
  <si>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</si>
  <si>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</si>
  <si>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</si>
  <si>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</si>
  <si>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</si>
  <si>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</si>
  <si>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</si>
  <si>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</si>
  <si>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</si>
  <si>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</si>
  <si>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</si>
  <si>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</si>
  <si>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</si>
  <si>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</si>
  <si>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</si>
  <si>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</si>
  <si>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</si>
  <si>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</si>
  <si>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</si>
  <si>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</si>
  <si>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</si>
  <si>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</si>
  <si>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</si>
  <si>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</si>
  <si>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</si>
  <si>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</si>
  <si>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</si>
  <si>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</si>
  <si>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</si>
  <si>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</si>
  <si>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</si>
  <si>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</si>
  <si>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</si>
  <si>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</si>
  <si>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</si>
  <si>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</si>
  <si>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</si>
  <si>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</si>
  <si>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</si>
  <si>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</si>
  <si>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</si>
  <si>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</si>
  <si>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</si>
  <si>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</si>
  <si>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</si>
  <si>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</si>
  <si>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</si>
  <si>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</si>
  <si>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</si>
  <si>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</si>
  <si>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</si>
  <si>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</si>
  <si>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</si>
  <si>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</si>
  <si>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</si>
  <si>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</si>
  <si>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</si>
  <si>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</si>
  <si>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</si>
  <si>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</si>
  <si>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</si>
  <si>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</si>
  <si>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</si>
  <si>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</si>
  <si>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</si>
  <si>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</si>
  <si>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</si>
  <si>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</si>
  <si>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</si>
  <si>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</si>
  <si>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</si>
  <si>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</si>
  <si>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</si>
  <si>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</si>
  <si>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</si>
  <si>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</si>
  <si>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</si>
  <si>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</si>
  <si>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</si>
  <si>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</si>
  <si>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</si>
  <si>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</si>
  <si>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</si>
  <si>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</si>
  <si>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</si>
  <si>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</si>
  <si>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</si>
  <si>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</si>
  <si>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</si>
  <si>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</si>
  <si>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</si>
  <si>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</si>
  <si>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</si>
  <si>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</si>
  <si>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</si>
  <si>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</si>
  <si>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</si>
  <si>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</si>
  <si>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</si>
  <si>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</si>
  <si>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</si>
  <si>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</si>
  <si>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</si>
  <si>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</si>
  <si>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</si>
  <si>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</si>
  <si>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</si>
  <si>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</si>
  <si>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</si>
  <si>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</si>
  <si>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</si>
  <si>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</si>
  <si>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</si>
  <si>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</si>
  <si>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</si>
  <si>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</si>
  <si>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</si>
  <si>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</si>
  <si>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</si>
  <si>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</si>
  <si>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</si>
  <si>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</si>
  <si>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</si>
  <si>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</si>
  <si>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</si>
  <si>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</si>
  <si>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</si>
  <si>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</si>
  <si>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</si>
  <si>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</si>
  <si>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</si>
  <si>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</si>
  <si>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</si>
  <si>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</si>
  <si>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</si>
  <si>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</si>
  <si>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</si>
  <si>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</si>
  <si>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</si>
  <si>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</si>
  <si>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</si>
  <si>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</si>
  <si>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</si>
  <si>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</si>
  <si>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</si>
  <si>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</si>
  <si>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</si>
  <si>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</si>
  <si>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</si>
  <si>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</si>
  <si>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</si>
  <si>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</si>
  <si>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</si>
  <si>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</si>
  <si>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</si>
  <si>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</si>
  <si>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</si>
  <si>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</si>
  <si>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</si>
  <si>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</si>
  <si>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</si>
  <si>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</si>
  <si>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</si>
  <si>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</si>
  <si>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</si>
  <si>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</si>
  <si>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</si>
  <si>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</si>
  <si>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</si>
  <si>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</si>
  <si>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</si>
  <si>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</si>
  <si>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</si>
  <si>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</si>
  <si>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</si>
  <si>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</si>
  <si>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</si>
  <si>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</si>
  <si>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</si>
  <si>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</si>
  <si>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</si>
  <si>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</si>
  <si>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</si>
  <si>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</si>
  <si>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</si>
  <si>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</si>
  <si>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</si>
  <si>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</si>
  <si>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</si>
  <si>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</si>
  <si>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</si>
  <si>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</si>
  <si>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</si>
  <si>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</si>
  <si>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</si>
  <si>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</si>
  <si>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</si>
  <si>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</si>
  <si>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</si>
  <si>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</si>
  <si>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</si>
  <si>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</si>
  <si>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</si>
  <si>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</si>
  <si>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</si>
  <si>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</si>
  <si>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</si>
  <si>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</si>
  <si>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</si>
  <si>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</si>
  <si>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</si>
  <si>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</si>
  <si>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</si>
  <si>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</si>
  <si>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</si>
  <si>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</si>
  <si>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</si>
  <si>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</si>
  <si>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</si>
  <si>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</si>
  <si>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</si>
  <si>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</si>
  <si>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</si>
  <si>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</si>
  <si>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</si>
  <si>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</si>
  <si>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</si>
  <si>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</si>
  <si>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</si>
  <si>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</si>
  <si>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</si>
  <si>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</si>
  <si>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</si>
  <si>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</si>
  <si>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</si>
  <si>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</si>
  <si>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</si>
  <si>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</si>
  <si>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</si>
  <si>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</si>
  <si>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</si>
  <si>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</si>
  <si>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</si>
  <si>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</si>
  <si>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</si>
  <si>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</si>
  <si>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</si>
  <si>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</si>
  <si>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</si>
  <si>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</si>
  <si>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</si>
  <si>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</si>
  <si>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</si>
  <si>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</si>
  <si>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</si>
  <si>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</si>
  <si>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</si>
  <si>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</si>
  <si>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</si>
  <si>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</si>
  <si>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</si>
  <si>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</si>
  <si>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</si>
  <si>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</si>
  <si>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</si>
  <si>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</si>
  <si>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</si>
  <si>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</si>
  <si>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</si>
  <si>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</si>
  <si>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</si>
  <si>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</si>
  <si>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</si>
  <si>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</si>
  <si>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</si>
  <si>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</si>
  <si>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</si>
  <si>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</si>
  <si>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</si>
  <si>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</si>
  <si>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</si>
  <si>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</si>
  <si>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</si>
  <si>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</si>
  <si>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</si>
  <si>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</si>
  <si>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</si>
  <si>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</si>
  <si>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</si>
  <si>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</si>
  <si>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</si>
  <si>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</si>
  <si>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</si>
  <si>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</si>
  <si>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</si>
  <si>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</si>
  <si>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</si>
  <si>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</si>
  <si>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</si>
  <si>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</si>
  <si>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</si>
  <si>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</si>
  <si>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</si>
  <si>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</si>
  <si>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</si>
  <si>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</si>
  <si>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</si>
  <si>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</si>
  <si>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</si>
  <si>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</si>
  <si>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</si>
  <si>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</si>
  <si>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</si>
  <si>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</si>
  <si>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</si>
  <si>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</si>
  <si>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</si>
  <si>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</si>
  <si>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</si>
  <si>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</si>
  <si>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</si>
  <si>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</si>
  <si>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</si>
  <si>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</si>
  <si>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</si>
  <si>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</si>
  <si>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</si>
  <si>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</si>
  <si>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</si>
  <si>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</si>
  <si>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</si>
  <si>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</si>
  <si>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</si>
  <si>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</si>
  <si>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</si>
  <si>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</si>
  <si>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</si>
  <si>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</si>
  <si>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</si>
  <si>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</si>
  <si>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</si>
  <si>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</si>
  <si>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</si>
  <si>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</si>
  <si>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</si>
  <si>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</si>
  <si>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</si>
  <si>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</si>
  <si>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</si>
  <si>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</si>
  <si>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</si>
  <si>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</si>
  <si>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</si>
  <si>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</si>
  <si>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</si>
  <si>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</si>
  <si>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</si>
  <si>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</si>
  <si>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</si>
  <si>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</si>
  <si>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</si>
  <si>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</si>
  <si>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</si>
  <si>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</si>
  <si>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</si>
  <si>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</si>
  <si>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</si>
  <si>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</si>
  <si>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</si>
  <si>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</si>
  <si>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</si>
  <si>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</si>
  <si>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</si>
  <si>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</si>
  <si>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</si>
  <si>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</si>
  <si>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</si>
  <si>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</si>
  <si>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</si>
  <si>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</si>
  <si>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</si>
  <si>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</si>
  <si>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</si>
  <si>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</si>
  <si>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</si>
  <si>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</si>
  <si>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</si>
  <si>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</si>
  <si>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</si>
  <si>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</si>
  <si>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</si>
  <si>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</si>
  <si>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</si>
  <si>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</si>
  <si>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</si>
  <si>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</si>
  <si>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</si>
  <si>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</si>
  <si>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</si>
  <si>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</si>
  <si>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</si>
  <si>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</si>
  <si>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</si>
  <si>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</si>
  <si>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</si>
  <si>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</si>
  <si>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</si>
  <si>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</si>
  <si>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</si>
  <si>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</si>
  <si>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</si>
  <si>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</si>
  <si>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</si>
  <si>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</si>
  <si>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</si>
  <si>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</si>
  <si>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</si>
  <si>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</si>
  <si>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</si>
  <si>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</si>
  <si>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</si>
  <si>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</si>
  <si>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</si>
  <si>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</si>
  <si>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</si>
  <si>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</si>
  <si>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</si>
  <si>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</si>
  <si>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</si>
  <si>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</si>
  <si>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</si>
  <si>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</si>
  <si>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</si>
  <si>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</si>
  <si>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</si>
  <si>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</si>
  <si>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</si>
  <si>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</si>
  <si>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</si>
  <si>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</si>
  <si>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</si>
  <si>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</si>
  <si>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</si>
  <si>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</si>
  <si>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</si>
  <si>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</si>
  <si>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</si>
  <si>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</si>
  <si>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</si>
  <si>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</si>
  <si>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</si>
  <si>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</si>
  <si>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</si>
  <si>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</si>
  <si>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</si>
  <si>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</si>
  <si>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</si>
  <si>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</si>
  <si>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</si>
  <si>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</si>
  <si>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</si>
  <si>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</si>
  <si>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</si>
  <si>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</si>
  <si>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</si>
  <si>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</si>
  <si>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</si>
  <si>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</si>
  <si>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</si>
  <si>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</si>
  <si>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</si>
  <si>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</si>
  <si>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</si>
  <si>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</si>
  <si>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</si>
  <si>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</si>
  <si>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13008</t>
  </si>
  <si>
    <t>GEEL</t>
  </si>
  <si>
    <t>Eandis (januari 2018); Infrax (juni 2018)</t>
  </si>
  <si>
    <t>MOW (september 2017)</t>
  </si>
  <si>
    <t>referentietaak LNE (2017); Jaarverslag De Lijn (2016)</t>
  </si>
  <si>
    <t>VEA (april 2018)</t>
  </si>
  <si>
    <t>VEA (januari 2017)</t>
  </si>
  <si>
    <t>VEA (juni 2018)</t>
  </si>
  <si>
    <t>Agrogas bvba</t>
  </si>
  <si>
    <t>Rendersvensedijk 12 , 2440 Geel</t>
  </si>
  <si>
    <t>WKK-0432 Agrogas</t>
  </si>
  <si>
    <t>interne verbrandingsmotor</t>
  </si>
  <si>
    <t>WKK interne verbrandinsgmotor (gas)</t>
  </si>
  <si>
    <t>IVEKA</t>
  </si>
  <si>
    <t>AZ St.-Dimpna</t>
  </si>
  <si>
    <t>J.B.-Stessensstraat 2 , 2440 Geel</t>
  </si>
  <si>
    <t>WKK-0318 AZ St-Dimpna</t>
  </si>
  <si>
    <t>WKK-0600 VME Ecodroom</t>
  </si>
  <si>
    <t>Werft 61 , 2440 Geel</t>
  </si>
  <si>
    <t>WKK-0742 Wim Dewindt</t>
  </si>
  <si>
    <t>brandstofcel</t>
  </si>
  <si>
    <t>Ierlandlaan 7 , 2440 Geel</t>
  </si>
  <si>
    <t>Zwembad Geel</t>
  </si>
  <si>
    <t>WKK-0748 zwembad Geel</t>
  </si>
  <si>
    <t>Fehrenbachstraat 26 / a, 2440 Geel, BE</t>
  </si>
  <si>
    <t>IVEKA (via EANDIS)</t>
  </si>
  <si>
    <t>WKK-0744 Johan Vervliet</t>
  </si>
  <si>
    <t>Dr. - Verwaeststraat 6 , 2440 Geel</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</si>
</sst>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332001.74496417952</c:v>
                </c:pt>
                <c:pt idx="1">
                  <c:v>210211.16545267811</c:v>
                </c:pt>
                <c:pt idx="2">
                  <c:v>1523.5150000000001</c:v>
                </c:pt>
                <c:pt idx="3">
                  <c:v>57692.564525806993</c:v>
                </c:pt>
                <c:pt idx="4">
                  <c:v>255640.18350453314</c:v>
                </c:pt>
                <c:pt idx="5">
                  <c:v>385918.71533626539</c:v>
                </c:pt>
                <c:pt idx="6">
                  <c:v>3654.2631067407565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332001.74496417952</c:v>
                </c:pt>
                <c:pt idx="1">
                  <c:v>210211.16545267811</c:v>
                </c:pt>
                <c:pt idx="2">
                  <c:v>1523.5150000000001</c:v>
                </c:pt>
                <c:pt idx="3">
                  <c:v>57692.564525806993</c:v>
                </c:pt>
                <c:pt idx="4">
                  <c:v>255640.18350453314</c:v>
                </c:pt>
                <c:pt idx="5">
                  <c:v>385918.71533626539</c:v>
                </c:pt>
                <c:pt idx="6">
                  <c:v>3654.2631067407565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54951.260092268101</c:v>
                </c:pt>
                <c:pt idx="1">
                  <c:v>36458.508737947181</c:v>
                </c:pt>
                <c:pt idx="2">
                  <c:v>247.5569059753617</c:v>
                </c:pt>
                <c:pt idx="3">
                  <c:v>7689.671281778953</c:v>
                </c:pt>
                <c:pt idx="4">
                  <c:v>46480.752659967831</c:v>
                </c:pt>
                <c:pt idx="5">
                  <c:v>96630.918134559266</c:v>
                </c:pt>
                <c:pt idx="6">
                  <c:v>923.25163253655944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54951.260092268101</c:v>
                </c:pt>
                <c:pt idx="1">
                  <c:v>36458.508737947181</c:v>
                </c:pt>
                <c:pt idx="2">
                  <c:v>247.5569059753617</c:v>
                </c:pt>
                <c:pt idx="3">
                  <c:v>7689.671281778953</c:v>
                </c:pt>
                <c:pt idx="4">
                  <c:v>46480.752659967831</c:v>
                </c:pt>
                <c:pt idx="5">
                  <c:v>96630.918134559266</c:v>
                </c:pt>
                <c:pt idx="6">
                  <c:v>923.25163253655944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13008</v>
      </c>
      <c r="B6" s="415"/>
      <c r="C6" s="416"/>
    </row>
    <row r="7" spans="1:7" s="413" customFormat="1" ht="15.75" customHeight="1">
      <c r="A7" s="417" t="str">
        <f>txtMunicipality</f>
        <v>GEEL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16617</v>
      </c>
      <c r="C9" s="342">
        <v>16933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5378.49</v>
      </c>
    </row>
    <row r="15" spans="1:6">
      <c r="A15" s="348" t="s">
        <v>184</v>
      </c>
      <c r="B15" s="334">
        <v>10552</v>
      </c>
    </row>
    <row r="16" spans="1:6">
      <c r="A16" s="348" t="s">
        <v>6</v>
      </c>
      <c r="B16" s="334">
        <v>4171</v>
      </c>
    </row>
    <row r="17" spans="1:6">
      <c r="A17" s="348" t="s">
        <v>7</v>
      </c>
      <c r="B17" s="334">
        <v>505</v>
      </c>
    </row>
    <row r="18" spans="1:6">
      <c r="A18" s="348" t="s">
        <v>8</v>
      </c>
      <c r="B18" s="334">
        <v>2265</v>
      </c>
    </row>
    <row r="19" spans="1:6">
      <c r="A19" s="348" t="s">
        <v>9</v>
      </c>
      <c r="B19" s="334">
        <v>2043</v>
      </c>
    </row>
    <row r="20" spans="1:6">
      <c r="A20" s="348" t="s">
        <v>10</v>
      </c>
      <c r="B20" s="334">
        <v>1136</v>
      </c>
    </row>
    <row r="21" spans="1:6">
      <c r="A21" s="348" t="s">
        <v>11</v>
      </c>
      <c r="B21" s="334">
        <v>3368</v>
      </c>
    </row>
    <row r="22" spans="1:6">
      <c r="A22" s="348" t="s">
        <v>12</v>
      </c>
      <c r="B22" s="334">
        <v>10886</v>
      </c>
    </row>
    <row r="23" spans="1:6">
      <c r="A23" s="348" t="s">
        <v>13</v>
      </c>
      <c r="B23" s="334">
        <v>190</v>
      </c>
    </row>
    <row r="24" spans="1:6">
      <c r="A24" s="348" t="s">
        <v>14</v>
      </c>
      <c r="B24" s="334">
        <v>9</v>
      </c>
    </row>
    <row r="25" spans="1:6">
      <c r="A25" s="348" t="s">
        <v>15</v>
      </c>
      <c r="B25" s="334">
        <v>868</v>
      </c>
    </row>
    <row r="26" spans="1:6">
      <c r="A26" s="348" t="s">
        <v>16</v>
      </c>
      <c r="B26" s="334">
        <v>590</v>
      </c>
    </row>
    <row r="27" spans="1:6">
      <c r="A27" s="348" t="s">
        <v>17</v>
      </c>
      <c r="B27" s="334">
        <v>17</v>
      </c>
    </row>
    <row r="28" spans="1:6" s="356" customFormat="1">
      <c r="A28" s="355" t="s">
        <v>18</v>
      </c>
      <c r="B28" s="355">
        <v>527398</v>
      </c>
    </row>
    <row r="29" spans="1:6">
      <c r="A29" s="355" t="s">
        <v>744</v>
      </c>
      <c r="B29" s="355">
        <v>502</v>
      </c>
      <c r="C29" s="356"/>
      <c r="D29" s="356"/>
      <c r="E29" s="356"/>
      <c r="F29" s="356"/>
    </row>
    <row r="30" spans="1:6">
      <c r="A30" s="341" t="s">
        <v>745</v>
      </c>
      <c r="B30" s="341">
        <v>77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6</v>
      </c>
      <c r="D36" s="334">
        <v>1980697.7320953901</v>
      </c>
      <c r="E36" s="334">
        <v>10</v>
      </c>
      <c r="F36" s="334">
        <v>89501.127563489805</v>
      </c>
    </row>
    <row r="37" spans="1:6">
      <c r="A37" s="348" t="s">
        <v>25</v>
      </c>
      <c r="B37" s="348" t="s">
        <v>28</v>
      </c>
      <c r="C37" s="334">
        <v>0</v>
      </c>
      <c r="D37" s="334">
        <v>0</v>
      </c>
      <c r="E37" s="334">
        <v>0</v>
      </c>
      <c r="F37" s="334">
        <v>0</v>
      </c>
    </row>
    <row r="38" spans="1:6">
      <c r="A38" s="348" t="s">
        <v>25</v>
      </c>
      <c r="B38" s="348" t="s">
        <v>29</v>
      </c>
      <c r="C38" s="334">
        <v>1</v>
      </c>
      <c r="D38" s="334">
        <v>59198.552187779198</v>
      </c>
      <c r="E38" s="334">
        <v>0</v>
      </c>
      <c r="F38" s="334">
        <v>0</v>
      </c>
    </row>
    <row r="39" spans="1:6">
      <c r="A39" s="348" t="s">
        <v>30</v>
      </c>
      <c r="B39" s="348" t="s">
        <v>31</v>
      </c>
      <c r="C39" s="334">
        <v>10897</v>
      </c>
      <c r="D39" s="334">
        <v>172311359.263345</v>
      </c>
      <c r="E39" s="334">
        <v>16344</v>
      </c>
      <c r="F39" s="334">
        <v>53057627.959087603</v>
      </c>
    </row>
    <row r="40" spans="1:6">
      <c r="A40" s="348" t="s">
        <v>30</v>
      </c>
      <c r="B40" s="348" t="s">
        <v>29</v>
      </c>
      <c r="C40" s="334">
        <v>2</v>
      </c>
      <c r="D40" s="334">
        <v>92549.308730660006</v>
      </c>
      <c r="E40" s="334">
        <v>2</v>
      </c>
      <c r="F40" s="334">
        <v>24433.460543292</v>
      </c>
    </row>
    <row r="41" spans="1:6">
      <c r="A41" s="348" t="s">
        <v>32</v>
      </c>
      <c r="B41" s="348" t="s">
        <v>33</v>
      </c>
      <c r="C41" s="334">
        <v>177</v>
      </c>
      <c r="D41" s="334">
        <v>5334157.7277881699</v>
      </c>
      <c r="E41" s="334">
        <v>361</v>
      </c>
      <c r="F41" s="334">
        <v>7611749.4643721702</v>
      </c>
    </row>
    <row r="42" spans="1:6">
      <c r="A42" s="348" t="s">
        <v>32</v>
      </c>
      <c r="B42" s="348" t="s">
        <v>34</v>
      </c>
      <c r="C42" s="334">
        <v>4</v>
      </c>
      <c r="D42" s="334">
        <v>85668988.759861395</v>
      </c>
      <c r="E42" s="334">
        <v>4</v>
      </c>
      <c r="F42" s="334">
        <v>60935992.124631502</v>
      </c>
    </row>
    <row r="43" spans="1:6">
      <c r="A43" s="348" t="s">
        <v>32</v>
      </c>
      <c r="B43" s="348" t="s">
        <v>35</v>
      </c>
      <c r="C43" s="334">
        <v>4</v>
      </c>
      <c r="D43" s="334">
        <v>41177822.897421002</v>
      </c>
      <c r="E43" s="334">
        <v>0</v>
      </c>
      <c r="F43" s="334">
        <v>0</v>
      </c>
    </row>
    <row r="44" spans="1:6">
      <c r="A44" s="348" t="s">
        <v>32</v>
      </c>
      <c r="B44" s="348" t="s">
        <v>36</v>
      </c>
      <c r="C44" s="334">
        <v>4</v>
      </c>
      <c r="D44" s="334">
        <v>246574.88761691999</v>
      </c>
      <c r="E44" s="334">
        <v>19</v>
      </c>
      <c r="F44" s="334">
        <v>345665.33123837301</v>
      </c>
    </row>
    <row r="45" spans="1:6">
      <c r="A45" s="348" t="s">
        <v>32</v>
      </c>
      <c r="B45" s="348" t="s">
        <v>37</v>
      </c>
      <c r="C45" s="334">
        <v>0</v>
      </c>
      <c r="D45" s="334">
        <v>0</v>
      </c>
      <c r="E45" s="334">
        <v>9</v>
      </c>
      <c r="F45" s="334">
        <v>279393.682680331</v>
      </c>
    </row>
    <row r="46" spans="1:6">
      <c r="A46" s="348" t="s">
        <v>32</v>
      </c>
      <c r="B46" s="348" t="s">
        <v>38</v>
      </c>
      <c r="C46" s="334">
        <v>0</v>
      </c>
      <c r="D46" s="334">
        <v>0</v>
      </c>
      <c r="E46" s="334">
        <v>0</v>
      </c>
      <c r="F46" s="334">
        <v>0</v>
      </c>
    </row>
    <row r="47" spans="1:6">
      <c r="A47" s="348" t="s">
        <v>32</v>
      </c>
      <c r="B47" s="348" t="s">
        <v>39</v>
      </c>
      <c r="C47" s="334">
        <v>4</v>
      </c>
      <c r="D47" s="334">
        <v>161868.56219659999</v>
      </c>
      <c r="E47" s="334">
        <v>8</v>
      </c>
      <c r="F47" s="334">
        <v>122995.11977375099</v>
      </c>
    </row>
    <row r="48" spans="1:6">
      <c r="A48" s="348" t="s">
        <v>32</v>
      </c>
      <c r="B48" s="348" t="s">
        <v>29</v>
      </c>
      <c r="C48" s="334">
        <v>47</v>
      </c>
      <c r="D48" s="334">
        <v>4443135.7941118795</v>
      </c>
      <c r="E48" s="334">
        <v>60</v>
      </c>
      <c r="F48" s="334">
        <v>21919839.068126202</v>
      </c>
    </row>
    <row r="49" spans="1:6">
      <c r="A49" s="348" t="s">
        <v>32</v>
      </c>
      <c r="B49" s="348" t="s">
        <v>40</v>
      </c>
      <c r="C49" s="334">
        <v>0</v>
      </c>
      <c r="D49" s="334">
        <v>0</v>
      </c>
      <c r="E49" s="334">
        <v>0</v>
      </c>
      <c r="F49" s="334">
        <v>0</v>
      </c>
    </row>
    <row r="50" spans="1:6">
      <c r="A50" s="348" t="s">
        <v>32</v>
      </c>
      <c r="B50" s="348" t="s">
        <v>41</v>
      </c>
      <c r="C50" s="334">
        <v>16</v>
      </c>
      <c r="D50" s="334">
        <v>5077157.0636488404</v>
      </c>
      <c r="E50" s="334">
        <v>24</v>
      </c>
      <c r="F50" s="334">
        <v>10669787.388041999</v>
      </c>
    </row>
    <row r="51" spans="1:6">
      <c r="A51" s="348" t="s">
        <v>42</v>
      </c>
      <c r="B51" s="348" t="s">
        <v>43</v>
      </c>
      <c r="C51" s="334">
        <v>14</v>
      </c>
      <c r="D51" s="334">
        <v>380938.15621395502</v>
      </c>
      <c r="E51" s="334">
        <v>172</v>
      </c>
      <c r="F51" s="334">
        <v>4003370.3776404401</v>
      </c>
    </row>
    <row r="52" spans="1:6">
      <c r="A52" s="348" t="s">
        <v>42</v>
      </c>
      <c r="B52" s="348" t="s">
        <v>29</v>
      </c>
      <c r="C52" s="334">
        <v>11</v>
      </c>
      <c r="D52" s="334">
        <v>469709.56813459197</v>
      </c>
      <c r="E52" s="334">
        <v>7</v>
      </c>
      <c r="F52" s="334">
        <v>31921.4940999094</v>
      </c>
    </row>
    <row r="53" spans="1:6">
      <c r="A53" s="348" t="s">
        <v>44</v>
      </c>
      <c r="B53" s="348" t="s">
        <v>45</v>
      </c>
      <c r="C53" s="334">
        <v>303</v>
      </c>
      <c r="D53" s="334">
        <v>7397308.6580325598</v>
      </c>
      <c r="E53" s="334">
        <v>752</v>
      </c>
      <c r="F53" s="334">
        <v>3720973.4214048302</v>
      </c>
    </row>
    <row r="54" spans="1:6">
      <c r="A54" s="348" t="s">
        <v>46</v>
      </c>
      <c r="B54" s="348" t="s">
        <v>47</v>
      </c>
      <c r="C54" s="334">
        <v>0</v>
      </c>
      <c r="D54" s="334">
        <v>0</v>
      </c>
      <c r="E54" s="334">
        <v>1</v>
      </c>
      <c r="F54" s="334">
        <v>1523515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136</v>
      </c>
      <c r="D57" s="334">
        <v>10284076.569534799</v>
      </c>
      <c r="E57" s="334">
        <v>345</v>
      </c>
      <c r="F57" s="334">
        <v>14967927.757297801</v>
      </c>
    </row>
    <row r="58" spans="1:6">
      <c r="A58" s="348" t="s">
        <v>49</v>
      </c>
      <c r="B58" s="348" t="s">
        <v>51</v>
      </c>
      <c r="C58" s="334">
        <v>109</v>
      </c>
      <c r="D58" s="334">
        <v>26807132.428372599</v>
      </c>
      <c r="E58" s="334">
        <v>160</v>
      </c>
      <c r="F58" s="334">
        <v>10259795.512055</v>
      </c>
    </row>
    <row r="59" spans="1:6">
      <c r="A59" s="348" t="s">
        <v>49</v>
      </c>
      <c r="B59" s="348" t="s">
        <v>52</v>
      </c>
      <c r="C59" s="334">
        <v>332</v>
      </c>
      <c r="D59" s="334">
        <v>19526517.021934502</v>
      </c>
      <c r="E59" s="334">
        <v>560</v>
      </c>
      <c r="F59" s="334">
        <v>17464099.609696299</v>
      </c>
    </row>
    <row r="60" spans="1:6">
      <c r="A60" s="348" t="s">
        <v>49</v>
      </c>
      <c r="B60" s="348" t="s">
        <v>53</v>
      </c>
      <c r="C60" s="334">
        <v>158</v>
      </c>
      <c r="D60" s="334">
        <v>6832169.4383024499</v>
      </c>
      <c r="E60" s="334">
        <v>240</v>
      </c>
      <c r="F60" s="334">
        <v>5662085.8536509797</v>
      </c>
    </row>
    <row r="61" spans="1:6">
      <c r="A61" s="348" t="s">
        <v>49</v>
      </c>
      <c r="B61" s="348" t="s">
        <v>54</v>
      </c>
      <c r="C61" s="334">
        <v>412</v>
      </c>
      <c r="D61" s="334">
        <v>20781994.147123799</v>
      </c>
      <c r="E61" s="334">
        <v>823</v>
      </c>
      <c r="F61" s="334">
        <v>24141336.716756001</v>
      </c>
    </row>
    <row r="62" spans="1:6">
      <c r="A62" s="348" t="s">
        <v>49</v>
      </c>
      <c r="B62" s="348" t="s">
        <v>55</v>
      </c>
      <c r="C62" s="334">
        <v>32</v>
      </c>
      <c r="D62" s="334">
        <v>4439763.3227249198</v>
      </c>
      <c r="E62" s="334">
        <v>33</v>
      </c>
      <c r="F62" s="334">
        <v>2033311.0194358099</v>
      </c>
    </row>
    <row r="63" spans="1:6">
      <c r="A63" s="348" t="s">
        <v>49</v>
      </c>
      <c r="B63" s="348" t="s">
        <v>29</v>
      </c>
      <c r="C63" s="334">
        <v>95</v>
      </c>
      <c r="D63" s="334">
        <v>16503447.8795022</v>
      </c>
      <c r="E63" s="334">
        <v>104</v>
      </c>
      <c r="F63" s="334">
        <v>11431115.8669727</v>
      </c>
    </row>
    <row r="64" spans="1:6">
      <c r="A64" s="348" t="s">
        <v>56</v>
      </c>
      <c r="B64" s="348" t="s">
        <v>57</v>
      </c>
      <c r="C64" s="334">
        <v>0</v>
      </c>
      <c r="D64" s="334">
        <v>0</v>
      </c>
      <c r="E64" s="334">
        <v>0</v>
      </c>
      <c r="F64" s="334">
        <v>0</v>
      </c>
    </row>
    <row r="65" spans="1:6">
      <c r="A65" s="348" t="s">
        <v>56</v>
      </c>
      <c r="B65" s="348" t="s">
        <v>29</v>
      </c>
      <c r="C65" s="334">
        <v>2</v>
      </c>
      <c r="D65" s="334">
        <v>359071.25230320002</v>
      </c>
      <c r="E65" s="334">
        <v>4</v>
      </c>
      <c r="F65" s="334">
        <v>47255.948762020198</v>
      </c>
    </row>
    <row r="66" spans="1:6">
      <c r="A66" s="348" t="s">
        <v>56</v>
      </c>
      <c r="B66" s="348" t="s">
        <v>58</v>
      </c>
      <c r="C66" s="334">
        <v>0</v>
      </c>
      <c r="D66" s="334">
        <v>0</v>
      </c>
      <c r="E66" s="334">
        <v>35</v>
      </c>
      <c r="F66" s="334">
        <v>874900.07163263101</v>
      </c>
    </row>
    <row r="67" spans="1:6">
      <c r="A67" s="355" t="s">
        <v>56</v>
      </c>
      <c r="B67" s="355" t="s">
        <v>59</v>
      </c>
      <c r="C67" s="334">
        <v>0</v>
      </c>
      <c r="D67" s="334">
        <v>0</v>
      </c>
      <c r="E67" s="334">
        <v>0</v>
      </c>
      <c r="F67" s="334">
        <v>0</v>
      </c>
    </row>
    <row r="68" spans="1:6">
      <c r="A68" s="341" t="s">
        <v>56</v>
      </c>
      <c r="B68" s="341" t="s">
        <v>60</v>
      </c>
      <c r="C68" s="334">
        <v>20</v>
      </c>
      <c r="D68" s="334">
        <v>834150.32313417795</v>
      </c>
      <c r="E68" s="334">
        <v>38</v>
      </c>
      <c r="F68" s="334">
        <v>526009.71957032196</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268240939</v>
      </c>
      <c r="E73" s="476">
        <v>281393687.3900882</v>
      </c>
    </row>
    <row r="74" spans="1:6">
      <c r="A74" s="348" t="s">
        <v>64</v>
      </c>
      <c r="B74" s="348" t="s">
        <v>657</v>
      </c>
      <c r="C74" s="1272" t="s">
        <v>659</v>
      </c>
      <c r="D74" s="476">
        <v>25757711.386322752</v>
      </c>
      <c r="E74" s="476">
        <v>26119228.271645259</v>
      </c>
    </row>
    <row r="75" spans="1:6">
      <c r="A75" s="348" t="s">
        <v>65</v>
      </c>
      <c r="B75" s="348" t="s">
        <v>656</v>
      </c>
      <c r="C75" s="1272" t="s">
        <v>660</v>
      </c>
      <c r="D75" s="476">
        <v>57985191</v>
      </c>
      <c r="E75" s="476">
        <v>58417157.115649074</v>
      </c>
    </row>
    <row r="76" spans="1:6">
      <c r="A76" s="348" t="s">
        <v>65</v>
      </c>
      <c r="B76" s="348" t="s">
        <v>657</v>
      </c>
      <c r="C76" s="1272" t="s">
        <v>661</v>
      </c>
      <c r="D76" s="476">
        <v>1103433.3863227516</v>
      </c>
      <c r="E76" s="476">
        <v>1142233.0175830713</v>
      </c>
    </row>
    <row r="77" spans="1:6">
      <c r="A77" s="348" t="s">
        <v>66</v>
      </c>
      <c r="B77" s="348" t="s">
        <v>656</v>
      </c>
      <c r="C77" s="1272" t="s">
        <v>662</v>
      </c>
      <c r="D77" s="476">
        <v>82093797</v>
      </c>
      <c r="E77" s="476">
        <v>86233484.924706101</v>
      </c>
    </row>
    <row r="78" spans="1:6">
      <c r="A78" s="341" t="s">
        <v>66</v>
      </c>
      <c r="B78" s="341" t="s">
        <v>657</v>
      </c>
      <c r="C78" s="341" t="s">
        <v>663</v>
      </c>
      <c r="D78" s="1273">
        <v>17700688</v>
      </c>
      <c r="E78" s="1273">
        <v>18636056.923486974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991097.2273544966</v>
      </c>
      <c r="C83" s="476">
        <v>995459.28161202092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26179.773907833565</v>
      </c>
    </row>
    <row r="91" spans="1:6">
      <c r="A91" s="348" t="s">
        <v>68</v>
      </c>
      <c r="B91" s="334">
        <v>11823.737939641347</v>
      </c>
    </row>
    <row r="92" spans="1:6">
      <c r="A92" s="341" t="s">
        <v>69</v>
      </c>
      <c r="B92" s="342">
        <v>11252.435407576726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5739</v>
      </c>
    </row>
    <row r="98" spans="1:6">
      <c r="A98" s="348" t="s">
        <v>72</v>
      </c>
      <c r="B98" s="334">
        <v>29</v>
      </c>
    </row>
    <row r="99" spans="1:6">
      <c r="A99" s="348" t="s">
        <v>73</v>
      </c>
      <c r="B99" s="334">
        <v>146</v>
      </c>
    </row>
    <row r="100" spans="1:6">
      <c r="A100" s="348" t="s">
        <v>74</v>
      </c>
      <c r="B100" s="334">
        <v>564</v>
      </c>
    </row>
    <row r="101" spans="1:6">
      <c r="A101" s="348" t="s">
        <v>75</v>
      </c>
      <c r="B101" s="334">
        <v>165</v>
      </c>
    </row>
    <row r="102" spans="1:6">
      <c r="A102" s="348" t="s">
        <v>76</v>
      </c>
      <c r="B102" s="334">
        <v>199</v>
      </c>
    </row>
    <row r="103" spans="1:6">
      <c r="A103" s="348" t="s">
        <v>77</v>
      </c>
      <c r="B103" s="334">
        <v>307</v>
      </c>
    </row>
    <row r="104" spans="1:6">
      <c r="A104" s="348" t="s">
        <v>78</v>
      </c>
      <c r="B104" s="334">
        <v>6048</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129</v>
      </c>
      <c r="C123" s="334">
        <v>92</v>
      </c>
    </row>
    <row r="124" spans="1:6">
      <c r="A124" s="341" t="s">
        <v>89</v>
      </c>
      <c r="B124" s="334">
        <v>6</v>
      </c>
      <c r="C124" s="334">
        <v>9</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465</v>
      </c>
    </row>
    <row r="130" spans="1:6">
      <c r="A130" s="348" t="s">
        <v>295</v>
      </c>
      <c r="B130" s="334">
        <v>5</v>
      </c>
    </row>
    <row r="131" spans="1:6">
      <c r="A131" s="348" t="s">
        <v>296</v>
      </c>
      <c r="B131" s="334">
        <v>5</v>
      </c>
    </row>
    <row r="132" spans="1:6">
      <c r="A132" s="341" t="s">
        <v>297</v>
      </c>
      <c r="B132" s="342">
        <v>80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261173.62682464611</v>
      </c>
      <c r="C3" s="43" t="s">
        <v>170</v>
      </c>
      <c r="D3" s="43"/>
      <c r="E3" s="154"/>
      <c r="F3" s="43"/>
      <c r="G3" s="43"/>
      <c r="H3" s="43"/>
      <c r="I3" s="43"/>
      <c r="J3" s="43"/>
      <c r="K3" s="96"/>
    </row>
    <row r="4" spans="1:11">
      <c r="A4" s="383" t="s">
        <v>171</v>
      </c>
      <c r="B4" s="49">
        <f>IF(ISERROR('SEAP template'!B69),0,'SEAP template'!B69)</f>
        <v>72051.738921718308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642.32887458954485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0.16249062593762562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917.61352566785558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32565.446750321749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2.8177519955527388E-2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1523.5150000000001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1523.5150000000001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0.16249062593762562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247.5569059753617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53082.061419630896</v>
      </c>
      <c r="C5" s="17">
        <f>IF(ISERROR('Eigen informatie GS &amp; warmtenet'!B57),0,'Eigen informatie GS &amp; warmtenet'!B57)</f>
        <v>0</v>
      </c>
      <c r="D5" s="30">
        <f>(SUM(HH_hh_gas_kWh,HH_rest_gas_kWh)/1000)*0.902</f>
        <v>155508.32553201224</v>
      </c>
      <c r="E5" s="17">
        <f>B46*B57</f>
        <v>14481.516005321862</v>
      </c>
      <c r="F5" s="17">
        <f>B51*B62</f>
        <v>36347.154444657215</v>
      </c>
      <c r="G5" s="18"/>
      <c r="H5" s="17"/>
      <c r="I5" s="17"/>
      <c r="J5" s="17">
        <f>B50*B61+C50*C61</f>
        <v>0</v>
      </c>
      <c r="K5" s="17"/>
      <c r="L5" s="17"/>
      <c r="M5" s="17"/>
      <c r="N5" s="17">
        <f>B48*B59+C48*C59</f>
        <v>55774.769622915934</v>
      </c>
      <c r="O5" s="17">
        <f>B69*B70*B71</f>
        <v>884.84666666666681</v>
      </c>
      <c r="P5" s="17">
        <f>B77*B78*B79/1000-B77*B78*B79/1000/B80</f>
        <v>4099.333333333333</v>
      </c>
    </row>
    <row r="6" spans="1:16">
      <c r="A6" s="16" t="s">
        <v>621</v>
      </c>
      <c r="B6" s="843">
        <f>kWh_PV_kleiner_dan_10kW</f>
        <v>11823.737939641347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64905.799359272241</v>
      </c>
      <c r="C8" s="21">
        <f>C5</f>
        <v>0</v>
      </c>
      <c r="D8" s="21">
        <f>D5</f>
        <v>155508.32553201224</v>
      </c>
      <c r="E8" s="21">
        <f>E5</f>
        <v>14481.516005321862</v>
      </c>
      <c r="F8" s="21">
        <f>F5</f>
        <v>36347.154444657215</v>
      </c>
      <c r="G8" s="21"/>
      <c r="H8" s="21"/>
      <c r="I8" s="21"/>
      <c r="J8" s="21">
        <f>J5</f>
        <v>0</v>
      </c>
      <c r="K8" s="21"/>
      <c r="L8" s="21">
        <f>L5</f>
        <v>0</v>
      </c>
      <c r="M8" s="21">
        <f>M5</f>
        <v>0</v>
      </c>
      <c r="N8" s="21">
        <f>N5</f>
        <v>55774.769622915934</v>
      </c>
      <c r="O8" s="21">
        <f>O5</f>
        <v>884.84666666666681</v>
      </c>
      <c r="P8" s="21">
        <f>P5</f>
        <v>4099.333333333333</v>
      </c>
    </row>
    <row r="9" spans="1:16">
      <c r="B9" s="19"/>
      <c r="C9" s="19"/>
      <c r="D9" s="258"/>
      <c r="E9" s="19"/>
      <c r="F9" s="19"/>
      <c r="G9" s="19"/>
      <c r="H9" s="19"/>
      <c r="I9" s="19"/>
      <c r="J9" s="19"/>
      <c r="K9" s="19"/>
      <c r="L9" s="19"/>
      <c r="M9" s="19"/>
      <c r="N9" s="19"/>
      <c r="O9" s="19"/>
      <c r="P9" s="19"/>
    </row>
    <row r="10" spans="1:16">
      <c r="A10" s="24" t="s">
        <v>214</v>
      </c>
      <c r="B10" s="25">
        <f ca="1">'EF ele_warmte'!B12</f>
        <v>0.16249062593762562</v>
      </c>
      <c r="C10" s="25">
        <f ca="1">'EF ele_warmte'!B22</f>
        <v>2.8177519955527388E-2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10546.583964870086</v>
      </c>
      <c r="C12" s="23">
        <f ca="1">C10*C8</f>
        <v>0</v>
      </c>
      <c r="D12" s="23">
        <f>D8*D10</f>
        <v>31412.681757466475</v>
      </c>
      <c r="E12" s="23">
        <f>E10*E8</f>
        <v>3287.3041332080629</v>
      </c>
      <c r="F12" s="23">
        <f>F10*F8</f>
        <v>9704.6902367234761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5739</v>
      </c>
      <c r="C18" s="166" t="s">
        <v>111</v>
      </c>
      <c r="D18" s="228"/>
      <c r="E18" s="15"/>
    </row>
    <row r="19" spans="1:7">
      <c r="A19" s="171" t="s">
        <v>72</v>
      </c>
      <c r="B19" s="37">
        <f>aantalw2001_ander</f>
        <v>29</v>
      </c>
      <c r="C19" s="166" t="s">
        <v>111</v>
      </c>
      <c r="D19" s="229"/>
      <c r="E19" s="15"/>
    </row>
    <row r="20" spans="1:7">
      <c r="A20" s="171" t="s">
        <v>73</v>
      </c>
      <c r="B20" s="37">
        <f>aantalw2001_propaan</f>
        <v>146</v>
      </c>
      <c r="C20" s="167">
        <f>IF(ISERROR(B20/SUM($B$20,$B$21,$B$22)*100),0,B20/SUM($B$20,$B$21,$B$22)*100)</f>
        <v>16.685714285714287</v>
      </c>
      <c r="D20" s="229"/>
      <c r="E20" s="15"/>
    </row>
    <row r="21" spans="1:7">
      <c r="A21" s="171" t="s">
        <v>74</v>
      </c>
      <c r="B21" s="37">
        <f>aantalw2001_elektriciteit</f>
        <v>564</v>
      </c>
      <c r="C21" s="167">
        <f>IF(ISERROR(B21/SUM($B$20,$B$21,$B$22)*100),0,B21/SUM($B$20,$B$21,$B$22)*100)</f>
        <v>64.457142857142856</v>
      </c>
      <c r="D21" s="229"/>
      <c r="E21" s="15"/>
    </row>
    <row r="22" spans="1:7">
      <c r="A22" s="171" t="s">
        <v>75</v>
      </c>
      <c r="B22" s="37">
        <f>aantalw2001_hout</f>
        <v>165</v>
      </c>
      <c r="C22" s="167">
        <f>IF(ISERROR(B22/SUM($B$20,$B$21,$B$22)*100),0,B22/SUM($B$20,$B$21,$B$22)*100)</f>
        <v>18.857142857142858</v>
      </c>
      <c r="D22" s="229"/>
      <c r="E22" s="15"/>
    </row>
    <row r="23" spans="1:7">
      <c r="A23" s="171" t="s">
        <v>76</v>
      </c>
      <c r="B23" s="37">
        <f>aantalw2001_niet_gespec</f>
        <v>199</v>
      </c>
      <c r="C23" s="166" t="s">
        <v>111</v>
      </c>
      <c r="D23" s="228"/>
      <c r="E23" s="15"/>
    </row>
    <row r="24" spans="1:7">
      <c r="A24" s="171" t="s">
        <v>77</v>
      </c>
      <c r="B24" s="37">
        <f>aantalw2001_steenkool</f>
        <v>307</v>
      </c>
      <c r="C24" s="166" t="s">
        <v>111</v>
      </c>
      <c r="D24" s="229"/>
      <c r="E24" s="15"/>
    </row>
    <row r="25" spans="1:7">
      <c r="A25" s="171" t="s">
        <v>78</v>
      </c>
      <c r="B25" s="37">
        <f>aantalw2001_stookolie</f>
        <v>6048</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16617</v>
      </c>
      <c r="C28" s="36"/>
      <c r="D28" s="228"/>
    </row>
    <row r="29" spans="1:7" s="15" customFormat="1">
      <c r="A29" s="230" t="s">
        <v>795</v>
      </c>
      <c r="B29" s="37">
        <f>SUM(HH_hh_gas_aantal,HH_rest_gas_aantal)</f>
        <v>10899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10899</v>
      </c>
      <c r="C32" s="167">
        <f>IF(ISERROR(B32/SUM($B$32,$B$34,$B$35,$B$36,$B$38,$B$39)*100),0,B32/SUM($B$32,$B$34,$B$35,$B$36,$B$38,$B$39)*100)</f>
        <v>66.449213510547494</v>
      </c>
      <c r="D32" s="233"/>
      <c r="G32" s="15"/>
    </row>
    <row r="33" spans="1:7">
      <c r="A33" s="171" t="s">
        <v>72</v>
      </c>
      <c r="B33" s="34" t="s">
        <v>111</v>
      </c>
      <c r="C33" s="167"/>
      <c r="D33" s="233"/>
      <c r="G33" s="15"/>
    </row>
    <row r="34" spans="1:7">
      <c r="A34" s="171" t="s">
        <v>73</v>
      </c>
      <c r="B34" s="33">
        <f>IF((($B$28-$B$32-$B$39-$B$77-$B$38)*C20/100)&lt;0,0,($B$28-$B$32-$B$39-$B$77-$B$38)*C20/100)</f>
        <v>683.94742857142865</v>
      </c>
      <c r="C34" s="167">
        <f>IF(ISERROR(B34/SUM($B$32,$B$34,$B$35,$B$36,$B$38,$B$39)*100),0,B34/SUM($B$32,$B$34,$B$35,$B$36,$B$38,$B$39)*100)</f>
        <v>4.1699026251154043</v>
      </c>
      <c r="D34" s="233"/>
      <c r="G34" s="15"/>
    </row>
    <row r="35" spans="1:7">
      <c r="A35" s="171" t="s">
        <v>74</v>
      </c>
      <c r="B35" s="33">
        <f>IF((($B$28-$B$32-$B$39-$B$77-$B$38)*C21/100)&lt;0,0,($B$28-$B$32-$B$39-$B$77-$B$38)*C21/100)</f>
        <v>2642.0982857142853</v>
      </c>
      <c r="C35" s="167">
        <f>IF(ISERROR(B35/SUM($B$32,$B$34,$B$35,$B$36,$B$38,$B$39)*100),0,B35/SUM($B$32,$B$34,$B$35,$B$36,$B$38,$B$39)*100)</f>
        <v>16.108390962774571</v>
      </c>
      <c r="D35" s="233"/>
      <c r="G35" s="15"/>
    </row>
    <row r="36" spans="1:7">
      <c r="A36" s="171" t="s">
        <v>75</v>
      </c>
      <c r="B36" s="33">
        <f>IF((($B$28-$B$32-$B$39-$B$77-$B$38)*C22/100)&lt;0,0,($B$28-$B$32-$B$39-$B$77-$B$38)*C22/100)</f>
        <v>772.95428571428579</v>
      </c>
      <c r="C36" s="167">
        <f>IF(ISERROR(B36/SUM($B$32,$B$34,$B$35,$B$36,$B$38,$B$39)*100),0,B36/SUM($B$32,$B$34,$B$35,$B$36,$B$38,$B$39)*100)</f>
        <v>4.7125611859180943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1404</v>
      </c>
      <c r="C39" s="167">
        <f>IF(ISERROR(B39/SUM($B$32,$B$34,$B$35,$B$36,$B$38,$B$39)*100),0,B39/SUM($B$32,$B$34,$B$35,$B$36,$B$38,$B$39)*100)</f>
        <v>8.5599317156444332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10899</v>
      </c>
      <c r="C44" s="34" t="s">
        <v>111</v>
      </c>
      <c r="D44" s="174"/>
    </row>
    <row r="45" spans="1:7">
      <c r="A45" s="171" t="s">
        <v>72</v>
      </c>
      <c r="B45" s="33" t="str">
        <f t="shared" si="0"/>
        <v>-</v>
      </c>
      <c r="C45" s="34" t="s">
        <v>111</v>
      </c>
      <c r="D45" s="174"/>
    </row>
    <row r="46" spans="1:7">
      <c r="A46" s="171" t="s">
        <v>73</v>
      </c>
      <c r="B46" s="33">
        <f t="shared" si="0"/>
        <v>683.94742857142865</v>
      </c>
      <c r="C46" s="34" t="s">
        <v>111</v>
      </c>
      <c r="D46" s="174"/>
    </row>
    <row r="47" spans="1:7">
      <c r="A47" s="171" t="s">
        <v>74</v>
      </c>
      <c r="B47" s="33">
        <f t="shared" si="0"/>
        <v>2642.0982857142853</v>
      </c>
      <c r="C47" s="34" t="s">
        <v>111</v>
      </c>
      <c r="D47" s="174"/>
    </row>
    <row r="48" spans="1:7">
      <c r="A48" s="171" t="s">
        <v>75</v>
      </c>
      <c r="B48" s="33">
        <f t="shared" si="0"/>
        <v>772.95428571428579</v>
      </c>
      <c r="C48" s="33">
        <f>B48*10</f>
        <v>7729.5428571428583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85959.672335864598</v>
      </c>
      <c r="C5" s="17">
        <f>IF(ISERROR('Eigen informatie GS &amp; warmtenet'!B58),0,'Eigen informatie GS &amp; warmtenet'!B58)</f>
        <v>0</v>
      </c>
      <c r="D5" s="30">
        <f>SUM(D6:D12)</f>
        <v>94867.940928360738</v>
      </c>
      <c r="E5" s="17">
        <f>SUM(E6:E12)</f>
        <v>905.76655850938164</v>
      </c>
      <c r="F5" s="17">
        <f>SUM(F6:F12)</f>
        <v>15481.927576288557</v>
      </c>
      <c r="G5" s="18"/>
      <c r="H5" s="17"/>
      <c r="I5" s="17"/>
      <c r="J5" s="17">
        <f>SUM(J6:J12)</f>
        <v>0.35257577450763095</v>
      </c>
      <c r="K5" s="17"/>
      <c r="L5" s="17"/>
      <c r="M5" s="17"/>
      <c r="N5" s="17">
        <f>SUM(N6:N12)</f>
        <v>14030.608952783803</v>
      </c>
      <c r="O5" s="17">
        <f>B38*B39*B40</f>
        <v>7.8166666666666664</v>
      </c>
      <c r="P5" s="17">
        <f>B46*B47*B48/1000-B46*B47*B48/1000/B49</f>
        <v>114.4</v>
      </c>
      <c r="R5" s="32"/>
    </row>
    <row r="6" spans="1:18">
      <c r="A6" s="32" t="s">
        <v>54</v>
      </c>
      <c r="B6" s="37">
        <f>B26</f>
        <v>24141.336716756003</v>
      </c>
      <c r="C6" s="33"/>
      <c r="D6" s="37">
        <f>IF(ISERROR(TER_kantoor_gas_kWh/1000),0,TER_kantoor_gas_kWh/1000)*0.902</f>
        <v>18745.358720705666</v>
      </c>
      <c r="E6" s="33">
        <f>$C$26*'E Balans VL '!I12/100/3.6*1000000</f>
        <v>0.15130986925782466</v>
      </c>
      <c r="F6" s="33">
        <f>$C$26*('E Balans VL '!L12+'E Balans VL '!N12)/100/3.6*1000000</f>
        <v>3627.7683352439681</v>
      </c>
      <c r="G6" s="34"/>
      <c r="H6" s="33"/>
      <c r="I6" s="33"/>
      <c r="J6" s="33">
        <f>$C$26*('E Balans VL '!D12+'E Balans VL '!E12)/100/3.6*1000000</f>
        <v>0</v>
      </c>
      <c r="K6" s="33"/>
      <c r="L6" s="33"/>
      <c r="M6" s="33"/>
      <c r="N6" s="33">
        <f>$C$26*'E Balans VL '!Y12/100/3.6*1000000</f>
        <v>23.087609223596512</v>
      </c>
      <c r="O6" s="33"/>
      <c r="P6" s="33"/>
      <c r="R6" s="32"/>
    </row>
    <row r="7" spans="1:18">
      <c r="A7" s="32" t="s">
        <v>53</v>
      </c>
      <c r="B7" s="37">
        <f t="shared" ref="B7:B12" si="0">B27</f>
        <v>5662.0858536509795</v>
      </c>
      <c r="C7" s="33"/>
      <c r="D7" s="37">
        <f>IF(ISERROR(TER_horeca_gas_kWh/1000),0,TER_horeca_gas_kWh/1000)*0.902</f>
        <v>6162.6168333488095</v>
      </c>
      <c r="E7" s="33">
        <f>$C$27*'E Balans VL '!I9/100/3.6*1000000</f>
        <v>81.080126300819288</v>
      </c>
      <c r="F7" s="33">
        <f>$C$27*('E Balans VL '!L9+'E Balans VL '!N9)/100/3.6*1000000</f>
        <v>717.00681185809458</v>
      </c>
      <c r="G7" s="34"/>
      <c r="H7" s="33"/>
      <c r="I7" s="33"/>
      <c r="J7" s="33">
        <f>$C$27*('E Balans VL '!D9+'E Balans VL '!E9)/100/3.6*1000000</f>
        <v>0</v>
      </c>
      <c r="K7" s="33"/>
      <c r="L7" s="33"/>
      <c r="M7" s="33"/>
      <c r="N7" s="33">
        <f>$C$27*'E Balans VL '!Y9/100/3.6*1000000</f>
        <v>1.6277248446476595</v>
      </c>
      <c r="O7" s="33"/>
      <c r="P7" s="33"/>
      <c r="R7" s="32"/>
    </row>
    <row r="8" spans="1:18">
      <c r="A8" s="6" t="s">
        <v>52</v>
      </c>
      <c r="B8" s="37">
        <f t="shared" si="0"/>
        <v>17464.099609696299</v>
      </c>
      <c r="C8" s="33"/>
      <c r="D8" s="37">
        <f>IF(ISERROR(TER_handel_gas_kWh/1000),0,TER_handel_gas_kWh/1000)*0.902</f>
        <v>17612.91835378492</v>
      </c>
      <c r="E8" s="33">
        <f>$C$28*'E Balans VL '!I13/100/3.6*1000000</f>
        <v>633.42073926740443</v>
      </c>
      <c r="F8" s="33">
        <f>$C$28*('E Balans VL '!L13+'E Balans VL '!N13)/100/3.6*1000000</f>
        <v>3363.7624200788896</v>
      </c>
      <c r="G8" s="34"/>
      <c r="H8" s="33"/>
      <c r="I8" s="33"/>
      <c r="J8" s="33">
        <f>$C$28*('E Balans VL '!D13+'E Balans VL '!E13)/100/3.6*1000000</f>
        <v>0</v>
      </c>
      <c r="K8" s="33"/>
      <c r="L8" s="33"/>
      <c r="M8" s="33"/>
      <c r="N8" s="33">
        <f>$C$28*'E Balans VL '!Y13/100/3.6*1000000</f>
        <v>24.191796269538301</v>
      </c>
      <c r="O8" s="33"/>
      <c r="P8" s="33"/>
      <c r="R8" s="32"/>
    </row>
    <row r="9" spans="1:18">
      <c r="A9" s="32" t="s">
        <v>51</v>
      </c>
      <c r="B9" s="37">
        <f t="shared" si="0"/>
        <v>10259.795512055</v>
      </c>
      <c r="C9" s="33"/>
      <c r="D9" s="37">
        <f>IF(ISERROR(TER_gezond_gas_kWh/1000),0,TER_gezond_gas_kWh/1000)*0.902</f>
        <v>24180.033450392086</v>
      </c>
      <c r="E9" s="33">
        <f>$C$29*'E Balans VL '!I10/100/3.6*1000000</f>
        <v>0.64236449623493075</v>
      </c>
      <c r="F9" s="33">
        <f>$C$29*('E Balans VL '!L10+'E Balans VL '!N10)/100/3.6*1000000</f>
        <v>1524.123861418145</v>
      </c>
      <c r="G9" s="34"/>
      <c r="H9" s="33"/>
      <c r="I9" s="33"/>
      <c r="J9" s="33">
        <f>$C$29*('E Balans VL '!D10+'E Balans VL '!E10)/100/3.6*1000000</f>
        <v>0</v>
      </c>
      <c r="K9" s="33"/>
      <c r="L9" s="33"/>
      <c r="M9" s="33"/>
      <c r="N9" s="33">
        <f>$C$29*'E Balans VL '!Y10/100/3.6*1000000</f>
        <v>158.69950696610951</v>
      </c>
      <c r="O9" s="33"/>
      <c r="P9" s="33"/>
      <c r="R9" s="32"/>
    </row>
    <row r="10" spans="1:18">
      <c r="A10" s="32" t="s">
        <v>50</v>
      </c>
      <c r="B10" s="37">
        <f t="shared" si="0"/>
        <v>14967.927757297801</v>
      </c>
      <c r="C10" s="33"/>
      <c r="D10" s="37">
        <f>IF(ISERROR(TER_ander_gas_kWh/1000),0,TER_ander_gas_kWh/1000)*0.902</f>
        <v>9276.2370657203883</v>
      </c>
      <c r="E10" s="33">
        <f>$C$30*'E Balans VL '!I14/100/3.6*1000000</f>
        <v>17.841235023336964</v>
      </c>
      <c r="F10" s="33">
        <f>$C$30*('E Balans VL '!L14+'E Balans VL '!N14)/100/3.6*1000000</f>
        <v>3916.2753231128745</v>
      </c>
      <c r="G10" s="34"/>
      <c r="H10" s="33"/>
      <c r="I10" s="33"/>
      <c r="J10" s="33">
        <f>$C$30*('E Balans VL '!D14+'E Balans VL '!E14)/100/3.6*1000000</f>
        <v>0.32489503895419369</v>
      </c>
      <c r="K10" s="33"/>
      <c r="L10" s="33"/>
      <c r="M10" s="33"/>
      <c r="N10" s="33">
        <f>$C$30*'E Balans VL '!Y14/100/3.6*1000000</f>
        <v>12710.39799146055</v>
      </c>
      <c r="O10" s="33"/>
      <c r="P10" s="33"/>
      <c r="R10" s="32"/>
    </row>
    <row r="11" spans="1:18">
      <c r="A11" s="32" t="s">
        <v>55</v>
      </c>
      <c r="B11" s="37">
        <f t="shared" si="0"/>
        <v>2033.3110194358098</v>
      </c>
      <c r="C11" s="33"/>
      <c r="D11" s="37">
        <f>IF(ISERROR(TER_onderwijs_gas_kWh/1000),0,TER_onderwijs_gas_kWh/1000)*0.902</f>
        <v>4004.6665170978777</v>
      </c>
      <c r="E11" s="33">
        <f>$C$31*'E Balans VL '!I11/100/3.6*1000000</f>
        <v>30.679388324474736</v>
      </c>
      <c r="F11" s="33">
        <f>$C$31*('E Balans VL '!L11+'E Balans VL '!N11)/100/3.6*1000000</f>
        <v>356.26857371505105</v>
      </c>
      <c r="G11" s="34"/>
      <c r="H11" s="33"/>
      <c r="I11" s="33"/>
      <c r="J11" s="33">
        <f>$C$31*('E Balans VL '!D11+'E Balans VL '!E11)/100/3.6*1000000</f>
        <v>0</v>
      </c>
      <c r="K11" s="33"/>
      <c r="L11" s="33"/>
      <c r="M11" s="33"/>
      <c r="N11" s="33">
        <f>$C$31*'E Balans VL '!Y11/100/3.6*1000000</f>
        <v>5.7218917868826917</v>
      </c>
      <c r="O11" s="33"/>
      <c r="P11" s="33"/>
      <c r="R11" s="32"/>
    </row>
    <row r="12" spans="1:18">
      <c r="A12" s="32" t="s">
        <v>260</v>
      </c>
      <c r="B12" s="37">
        <f t="shared" si="0"/>
        <v>11431.115866972699</v>
      </c>
      <c r="C12" s="33"/>
      <c r="D12" s="37">
        <f>IF(ISERROR(TER_rest_gas_kWh/1000),0,TER_rest_gas_kWh/1000)*0.902</f>
        <v>14886.109987310985</v>
      </c>
      <c r="E12" s="33">
        <f>$C$32*'E Balans VL '!I8/100/3.6*1000000</f>
        <v>141.95139522785342</v>
      </c>
      <c r="F12" s="33">
        <f>$C$32*('E Balans VL '!L8+'E Balans VL '!N8)/100/3.6*1000000</f>
        <v>1976.7222508615337</v>
      </c>
      <c r="G12" s="34"/>
      <c r="H12" s="33"/>
      <c r="I12" s="33"/>
      <c r="J12" s="33">
        <f>$C$32*('E Balans VL '!D8+'E Balans VL '!E8)/100/3.6*1000000</f>
        <v>2.7680735553437252E-2</v>
      </c>
      <c r="K12" s="33"/>
      <c r="L12" s="33"/>
      <c r="M12" s="33"/>
      <c r="N12" s="33">
        <f>$C$32*'E Balans VL '!Y8/100/3.6*1000000</f>
        <v>1106.8824322324779</v>
      </c>
      <c r="O12" s="33"/>
      <c r="P12" s="33"/>
      <c r="R12" s="32"/>
    </row>
    <row r="13" spans="1:18">
      <c r="A13" s="16" t="s">
        <v>488</v>
      </c>
      <c r="B13" s="247">
        <f ca="1">'lokale energieproductie'!N90+'lokale energieproductie'!N59</f>
        <v>2703.2916666666665</v>
      </c>
      <c r="C13" s="247">
        <f ca="1">'lokale energieproductie'!O90+'lokale energieproductie'!O59</f>
        <v>3861.8753217503217</v>
      </c>
      <c r="D13" s="310">
        <f ca="1">('lokale energieproductie'!P59+'lokale energieproductie'!P90)*(-1)</f>
        <v>-7722.4871299871302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88662.964002531269</v>
      </c>
      <c r="C16" s="21">
        <f t="shared" ca="1" si="1"/>
        <v>3861.8753217503217</v>
      </c>
      <c r="D16" s="21">
        <f t="shared" ca="1" si="1"/>
        <v>87145.453798373608</v>
      </c>
      <c r="E16" s="21">
        <f t="shared" si="1"/>
        <v>905.76655850938164</v>
      </c>
      <c r="F16" s="21">
        <f t="shared" ca="1" si="1"/>
        <v>15481.927576288557</v>
      </c>
      <c r="G16" s="21">
        <f t="shared" si="1"/>
        <v>0</v>
      </c>
      <c r="H16" s="21">
        <f t="shared" si="1"/>
        <v>0</v>
      </c>
      <c r="I16" s="21">
        <f t="shared" si="1"/>
        <v>0</v>
      </c>
      <c r="J16" s="21">
        <f t="shared" si="1"/>
        <v>0.35257577450763095</v>
      </c>
      <c r="K16" s="21">
        <f t="shared" si="1"/>
        <v>0</v>
      </c>
      <c r="L16" s="21">
        <f t="shared" ca="1" si="1"/>
        <v>0</v>
      </c>
      <c r="M16" s="21">
        <f t="shared" si="1"/>
        <v>0</v>
      </c>
      <c r="N16" s="21">
        <f t="shared" ca="1" si="1"/>
        <v>14030.608952783803</v>
      </c>
      <c r="O16" s="21">
        <f>O5</f>
        <v>7.8166666666666664</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0.16249062593762562</v>
      </c>
      <c r="C18" s="25">
        <f ca="1">'EF ele_warmte'!B22</f>
        <v>2.8177519955527388E-2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14406.900518256474</v>
      </c>
      <c r="C20" s="23">
        <f t="shared" ref="C20:P20" ca="1" si="2">C16*C18</f>
        <v>108.81806894437844</v>
      </c>
      <c r="D20" s="23">
        <f t="shared" ca="1" si="2"/>
        <v>17603.381667271471</v>
      </c>
      <c r="E20" s="23">
        <f t="shared" si="2"/>
        <v>205.60900878162963</v>
      </c>
      <c r="F20" s="23">
        <f t="shared" ca="1" si="2"/>
        <v>4133.6746628690453</v>
      </c>
      <c r="G20" s="23">
        <f t="shared" si="2"/>
        <v>0</v>
      </c>
      <c r="H20" s="23">
        <f t="shared" si="2"/>
        <v>0</v>
      </c>
      <c r="I20" s="23">
        <f t="shared" si="2"/>
        <v>0</v>
      </c>
      <c r="J20" s="23">
        <f t="shared" si="2"/>
        <v>0.12481182417570134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24141.336716756003</v>
      </c>
      <c r="C26" s="39">
        <f>IF(ISERROR(B26*3.6/1000000/'E Balans VL '!Z12*100),0,B26*3.6/1000000/'E Balans VL '!Z12*100)</f>
        <v>0.51030961522578422</v>
      </c>
      <c r="D26" s="237" t="s">
        <v>754</v>
      </c>
      <c r="F26" s="6"/>
    </row>
    <row r="27" spans="1:18">
      <c r="A27" s="231" t="s">
        <v>53</v>
      </c>
      <c r="B27" s="33">
        <f>IF(ISERROR(TER_horeca_ele_kWh/1000),0,TER_horeca_ele_kWh/1000)</f>
        <v>5662.0858536509795</v>
      </c>
      <c r="C27" s="39">
        <f>IF(ISERROR(B27*3.6/1000000/'E Balans VL '!Z9*100),0,B27*3.6/1000000/'E Balans VL '!Z9*100)</f>
        <v>0.44634011747617092</v>
      </c>
      <c r="D27" s="237" t="s">
        <v>754</v>
      </c>
      <c r="F27" s="6"/>
    </row>
    <row r="28" spans="1:18">
      <c r="A28" s="171" t="s">
        <v>52</v>
      </c>
      <c r="B28" s="33">
        <f>IF(ISERROR(TER_handel_ele_kWh/1000),0,TER_handel_ele_kWh/1000)</f>
        <v>17464.099609696299</v>
      </c>
      <c r="C28" s="39">
        <f>IF(ISERROR(B28*3.6/1000000/'E Balans VL '!Z13*100),0,B28*3.6/1000000/'E Balans VL '!Z13*100)</f>
        <v>0.50687873354280999</v>
      </c>
      <c r="D28" s="237" t="s">
        <v>754</v>
      </c>
      <c r="F28" s="6"/>
    </row>
    <row r="29" spans="1:18">
      <c r="A29" s="231" t="s">
        <v>51</v>
      </c>
      <c r="B29" s="33">
        <f>IF(ISERROR(TER_gezond_ele_kWh/1000),0,TER_gezond_ele_kWh/1000)</f>
        <v>10259.795512055</v>
      </c>
      <c r="C29" s="39">
        <f>IF(ISERROR(B29*3.6/1000000/'E Balans VL '!Z10*100),0,B29*3.6/1000000/'E Balans VL '!Z10*100)</f>
        <v>1.0805249377086639</v>
      </c>
      <c r="D29" s="237" t="s">
        <v>754</v>
      </c>
      <c r="F29" s="6"/>
    </row>
    <row r="30" spans="1:18">
      <c r="A30" s="231" t="s">
        <v>50</v>
      </c>
      <c r="B30" s="33">
        <f>IF(ISERROR(TER_ander_ele_kWh/1000),0,TER_ander_ele_kWh/1000)</f>
        <v>14967.927757297801</v>
      </c>
      <c r="C30" s="39">
        <f>IF(ISERROR(B30*3.6/1000000/'E Balans VL '!Z14*100),0,B30*3.6/1000000/'E Balans VL '!Z14*100)</f>
        <v>1.104037602396023</v>
      </c>
      <c r="D30" s="237" t="s">
        <v>754</v>
      </c>
      <c r="F30" s="6"/>
    </row>
    <row r="31" spans="1:18">
      <c r="A31" s="231" t="s">
        <v>55</v>
      </c>
      <c r="B31" s="33">
        <f>IF(ISERROR(TER_onderwijs_ele_kWh/1000),0,TER_onderwijs_ele_kWh/1000)</f>
        <v>2033.3110194358098</v>
      </c>
      <c r="C31" s="39">
        <f>IF(ISERROR(B31*3.6/1000000/'E Balans VL '!Z11*100),0,B31*3.6/1000000/'E Balans VL '!Z11*100)</f>
        <v>0.50496637202328898</v>
      </c>
      <c r="D31" s="237" t="s">
        <v>754</v>
      </c>
    </row>
    <row r="32" spans="1:18">
      <c r="A32" s="231" t="s">
        <v>260</v>
      </c>
      <c r="B32" s="33">
        <f>IF(ISERROR(TER_rest_ele_kWh/1000),0,TER_rest_ele_kWh/1000)</f>
        <v>11431.115866972699</v>
      </c>
      <c r="C32" s="39">
        <f>IF(ISERROR(B32*3.6/1000000/'E Balans VL '!Z8*100),0,B32*3.6/1000000/'E Balans VL '!Z8*100)</f>
        <v>9.4062910321274215E-2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101885.42217886433</v>
      </c>
      <c r="C5" s="17">
        <f>IF(ISERROR('Eigen informatie GS &amp; warmtenet'!B59),0,'Eigen informatie GS &amp; warmtenet'!B59)</f>
        <v>0</v>
      </c>
      <c r="D5" s="30">
        <f>SUM(D6:D15)</f>
        <v>128182.95453476562</v>
      </c>
      <c r="E5" s="17">
        <f>SUM(E6:E15)</f>
        <v>3619.4171854079295</v>
      </c>
      <c r="F5" s="17">
        <f>SUM(F6:F15)</f>
        <v>11920.650003639857</v>
      </c>
      <c r="G5" s="18"/>
      <c r="H5" s="17"/>
      <c r="I5" s="17"/>
      <c r="J5" s="17">
        <f>SUM(J6:J15)</f>
        <v>78.950757409087174</v>
      </c>
      <c r="K5" s="17"/>
      <c r="L5" s="17"/>
      <c r="M5" s="17"/>
      <c r="N5" s="17">
        <f>SUM(N6:N15)</f>
        <v>9952.7888444462951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37142.396253473744</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345.66533123837303</v>
      </c>
      <c r="C8" s="33"/>
      <c r="D8" s="37">
        <f>IF( ISERROR(IND_metaal_Gas_kWH/1000),0,IND_metaal_Gas_kWH/1000)*0.902</f>
        <v>222.41054863046185</v>
      </c>
      <c r="E8" s="33">
        <f>C30*'E Balans VL '!I18/100/3.6*1000000</f>
        <v>3.1780588739850373</v>
      </c>
      <c r="F8" s="33">
        <f>C30*'E Balans VL '!L18/100/3.6*1000000+C30*'E Balans VL '!N18/100/3.6*1000000</f>
        <v>32.411899706353118</v>
      </c>
      <c r="G8" s="34"/>
      <c r="H8" s="33"/>
      <c r="I8" s="33"/>
      <c r="J8" s="40">
        <f>C30*'E Balans VL '!D18/100/3.6*1000000+C30*'E Balans VL '!E18/100/3.6*1000000</f>
        <v>0</v>
      </c>
      <c r="K8" s="33"/>
      <c r="L8" s="33"/>
      <c r="M8" s="33"/>
      <c r="N8" s="33">
        <f>C30*'E Balans VL '!Y18/100/3.6*1000000</f>
        <v>4.9314871861306102</v>
      </c>
      <c r="O8" s="33"/>
      <c r="P8" s="33"/>
      <c r="R8" s="32"/>
    </row>
    <row r="9" spans="1:18">
      <c r="A9" s="6" t="s">
        <v>33</v>
      </c>
      <c r="B9" s="37">
        <f t="shared" si="0"/>
        <v>7611.7494643721702</v>
      </c>
      <c r="C9" s="33"/>
      <c r="D9" s="37">
        <f>IF( ISERROR(IND_andere_gas_kWh/1000),0,IND_andere_gas_kWh/1000)*0.902</f>
        <v>4811.4102704649295</v>
      </c>
      <c r="E9" s="33">
        <f>C31*'E Balans VL '!I19/100/3.6*1000000</f>
        <v>2225.0625517199392</v>
      </c>
      <c r="F9" s="33">
        <f>C31*'E Balans VL '!L19/100/3.6*1000000+C31*'E Balans VL '!N19/100/3.6*1000000</f>
        <v>6116.6168511168207</v>
      </c>
      <c r="G9" s="34"/>
      <c r="H9" s="33"/>
      <c r="I9" s="33"/>
      <c r="J9" s="40">
        <f>C31*'E Balans VL '!D19/100/3.6*1000000+C31*'E Balans VL '!E19/100/3.6*1000000</f>
        <v>0</v>
      </c>
      <c r="K9" s="33"/>
      <c r="L9" s="33"/>
      <c r="M9" s="33"/>
      <c r="N9" s="33">
        <f>C31*'E Balans VL '!Y19/100/3.6*1000000</f>
        <v>2515.0400728930149</v>
      </c>
      <c r="O9" s="33"/>
      <c r="P9" s="33"/>
      <c r="R9" s="32"/>
    </row>
    <row r="10" spans="1:18">
      <c r="A10" s="6" t="s">
        <v>41</v>
      </c>
      <c r="B10" s="37">
        <f t="shared" si="0"/>
        <v>10669.787388041999</v>
      </c>
      <c r="C10" s="33"/>
      <c r="D10" s="37">
        <f>IF( ISERROR(IND_voed_gas_kWh/1000),0,IND_voed_gas_kWh/1000)*0.902</f>
        <v>4579.5956714112544</v>
      </c>
      <c r="E10" s="33">
        <f>C32*'E Balans VL '!I20/100/3.6*1000000</f>
        <v>22.57210065641571</v>
      </c>
      <c r="F10" s="33">
        <f>C32*'E Balans VL '!L20/100/3.6*1000000+C32*'E Balans VL '!N20/100/3.6*1000000</f>
        <v>678.39598099992281</v>
      </c>
      <c r="G10" s="34"/>
      <c r="H10" s="33"/>
      <c r="I10" s="33"/>
      <c r="J10" s="40">
        <f>C32*'E Balans VL '!D20/100/3.6*1000000+C32*'E Balans VL '!E20/100/3.6*1000000</f>
        <v>0</v>
      </c>
      <c r="K10" s="33"/>
      <c r="L10" s="33"/>
      <c r="M10" s="33"/>
      <c r="N10" s="33">
        <f>C32*'E Balans VL '!Y20/100/3.6*1000000</f>
        <v>736.32062180960986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279.39368268033098</v>
      </c>
      <c r="C12" s="33"/>
      <c r="D12" s="37">
        <f>IF( ISERROR(IND_min_gas_kWh/1000),0,IND_min_gas_kWh/1000)*0.902</f>
        <v>0</v>
      </c>
      <c r="E12" s="33">
        <f>C34*'E Balans VL '!I22/100/3.6*1000000</f>
        <v>8.0984724115571858</v>
      </c>
      <c r="F12" s="33">
        <f>C34*'E Balans VL '!L22/100/3.6*1000000+C34*'E Balans VL '!N22/100/3.6*1000000</f>
        <v>96.058705324477316</v>
      </c>
      <c r="G12" s="34"/>
      <c r="H12" s="33"/>
      <c r="I12" s="33"/>
      <c r="J12" s="40">
        <f>C34*'E Balans VL '!D22/100/3.6*1000000+C34*'E Balans VL '!E22/100/3.6*1000000</f>
        <v>0.45912801467419501</v>
      </c>
      <c r="K12" s="33"/>
      <c r="L12" s="33"/>
      <c r="M12" s="33"/>
      <c r="N12" s="33">
        <f>C34*'E Balans VL '!Y22/100/3.6*1000000</f>
        <v>61.163868496495013</v>
      </c>
      <c r="O12" s="33"/>
      <c r="P12" s="33"/>
      <c r="R12" s="32"/>
    </row>
    <row r="13" spans="1:18">
      <c r="A13" s="6" t="s">
        <v>39</v>
      </c>
      <c r="B13" s="37">
        <f t="shared" si="0"/>
        <v>122.995119773751</v>
      </c>
      <c r="C13" s="33"/>
      <c r="D13" s="37">
        <f>IF( ISERROR(IND_papier_gas_kWh/1000),0,IND_papier_gas_kWh/1000)*0.902</f>
        <v>146.00544310133319</v>
      </c>
      <c r="E13" s="33">
        <f>C35*'E Balans VL '!I23/100/3.6*1000000</f>
        <v>0.17450194619342346</v>
      </c>
      <c r="F13" s="33">
        <f>C35*'E Balans VL '!L23/100/3.6*1000000+C35*'E Balans VL '!N23/100/3.6*1000000</f>
        <v>3.0027733651464756</v>
      </c>
      <c r="G13" s="34"/>
      <c r="H13" s="33"/>
      <c r="I13" s="33"/>
      <c r="J13" s="40">
        <f>C35*'E Balans VL '!D23/100/3.6*1000000+C35*'E Balans VL '!E23/100/3.6*1000000</f>
        <v>1.9022350021562467E-2</v>
      </c>
      <c r="K13" s="33"/>
      <c r="L13" s="33"/>
      <c r="M13" s="33"/>
      <c r="N13" s="33">
        <f>C35*'E Balans VL '!Y23/100/3.6*1000000</f>
        <v>357.51769823763829</v>
      </c>
      <c r="O13" s="33"/>
      <c r="P13" s="33"/>
      <c r="R13" s="32"/>
    </row>
    <row r="14" spans="1:18">
      <c r="A14" s="6" t="s">
        <v>34</v>
      </c>
      <c r="B14" s="37">
        <f t="shared" si="0"/>
        <v>60935.992124631499</v>
      </c>
      <c r="C14" s="33"/>
      <c r="D14" s="37">
        <f>IF( ISERROR(IND_chemie_gas_kWh/1000),0,IND_chemie_gas_kWh/1000)*0.902</f>
        <v>77273.427861394986</v>
      </c>
      <c r="E14" s="33">
        <f>C36*'E Balans VL '!I24/100/3.6*1000000</f>
        <v>150.00695330313957</v>
      </c>
      <c r="F14" s="33">
        <f>C36*'E Balans VL '!L24/100/3.6*1000000+C36*'E Balans VL '!N24/100/3.6*1000000</f>
        <v>652.49974571850623</v>
      </c>
      <c r="G14" s="34"/>
      <c r="H14" s="33"/>
      <c r="I14" s="33"/>
      <c r="J14" s="40">
        <f>C36*'E Balans VL '!D24/100/3.6*1000000+C36*'E Balans VL '!E24/100/3.6*1000000</f>
        <v>0</v>
      </c>
      <c r="K14" s="33"/>
      <c r="L14" s="33"/>
      <c r="M14" s="33"/>
      <c r="N14" s="33">
        <f>C36*'E Balans VL '!Y24/100/3.6*1000000</f>
        <v>1360.8511260543462</v>
      </c>
      <c r="O14" s="33"/>
      <c r="P14" s="33"/>
      <c r="R14" s="32"/>
    </row>
    <row r="15" spans="1:18">
      <c r="A15" s="6" t="s">
        <v>270</v>
      </c>
      <c r="B15" s="37">
        <f t="shared" si="0"/>
        <v>21919.839068126203</v>
      </c>
      <c r="C15" s="33"/>
      <c r="D15" s="37">
        <f>IF( ISERROR(IND_rest_gas_kWh/1000),0,IND_rest_gas_kWh/1000)*0.902</f>
        <v>4007.7084862889155</v>
      </c>
      <c r="E15" s="33">
        <f>C37*'E Balans VL '!I15/100/3.6*1000000</f>
        <v>1210.3245464966988</v>
      </c>
      <c r="F15" s="33">
        <f>C37*'E Balans VL '!L15/100/3.6*1000000+C37*'E Balans VL '!N15/100/3.6*1000000</f>
        <v>4341.6640474086289</v>
      </c>
      <c r="G15" s="34"/>
      <c r="H15" s="33"/>
      <c r="I15" s="33"/>
      <c r="J15" s="40">
        <f>C37*'E Balans VL '!D15/100/3.6*1000000+C37*'E Balans VL '!E15/100/3.6*1000000</f>
        <v>78.472607044391424</v>
      </c>
      <c r="K15" s="33"/>
      <c r="L15" s="33"/>
      <c r="M15" s="33"/>
      <c r="N15" s="33">
        <f>C37*'E Balans VL '!Y15/100/3.6*1000000</f>
        <v>4916.9639697690591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101885.42217886433</v>
      </c>
      <c r="C18" s="21">
        <f>C5+C16</f>
        <v>0</v>
      </c>
      <c r="D18" s="21">
        <f>MAX((D5+D16),0)</f>
        <v>128182.95453476562</v>
      </c>
      <c r="E18" s="21">
        <f>MAX((E5+E16),0)</f>
        <v>3619.4171854079295</v>
      </c>
      <c r="F18" s="21">
        <f>MAX((F5+F16),0)</f>
        <v>11920.650003639857</v>
      </c>
      <c r="G18" s="21"/>
      <c r="H18" s="21"/>
      <c r="I18" s="21"/>
      <c r="J18" s="21">
        <f>MAX((J5+J16),0)</f>
        <v>78.950757409087174</v>
      </c>
      <c r="K18" s="21"/>
      <c r="L18" s="21">
        <f>MAX((L5+L16),0)</f>
        <v>0</v>
      </c>
      <c r="M18" s="21"/>
      <c r="N18" s="21">
        <f>MAX((N5+N16),0)</f>
        <v>9952.7888444462951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0.16249062593762562</v>
      </c>
      <c r="C20" s="25">
        <f ca="1">'EF ele_warmte'!B22</f>
        <v>2.8177519955527388E-2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16555.42602376291</v>
      </c>
      <c r="C22" s="23">
        <f ca="1">C18*C20</f>
        <v>0</v>
      </c>
      <c r="D22" s="23">
        <f>D18*D20</f>
        <v>25892.956816022659</v>
      </c>
      <c r="E22" s="23">
        <f>E18*E20</f>
        <v>821.60770108760005</v>
      </c>
      <c r="F22" s="23">
        <f>F18*F20</f>
        <v>3182.8135509718422</v>
      </c>
      <c r="G22" s="23"/>
      <c r="H22" s="23"/>
      <c r="I22" s="23"/>
      <c r="J22" s="23">
        <f>J18*J20</f>
        <v>27.948568122816859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345.66533123837303</v>
      </c>
      <c r="C30" s="39">
        <f>IF(ISERROR(B30*3.6/1000000/'E Balans VL '!Z18*100),0,B30*3.6/1000000/'E Balans VL '!Z18*100)</f>
        <v>1.9589740665159075E-2</v>
      </c>
      <c r="D30" s="237" t="s">
        <v>754</v>
      </c>
    </row>
    <row r="31" spans="1:18">
      <c r="A31" s="6" t="s">
        <v>33</v>
      </c>
      <c r="B31" s="37">
        <f>IF( ISERROR(IND_ander_ele_kWh/1000),0,IND_ander_ele_kWh/1000)</f>
        <v>7611.7494643721702</v>
      </c>
      <c r="C31" s="39">
        <f>IF(ISERROR(B31*3.6/1000000/'E Balans VL '!Z19*100),0,B31*3.6/1000000/'E Balans VL '!Z19*100)</f>
        <v>0.34523726093078982</v>
      </c>
      <c r="D31" s="237" t="s">
        <v>754</v>
      </c>
    </row>
    <row r="32" spans="1:18">
      <c r="A32" s="171" t="s">
        <v>41</v>
      </c>
      <c r="B32" s="37">
        <f>IF( ISERROR(IND_voed_ele_kWh/1000),0,IND_voed_ele_kWh/1000)</f>
        <v>10669.787388041999</v>
      </c>
      <c r="C32" s="39">
        <f>IF(ISERROR(B32*3.6/1000000/'E Balans VL '!Z20*100),0,B32*3.6/1000000/'E Balans VL '!Z20*100)</f>
        <v>0.33006496065710023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279.39368268033098</v>
      </c>
      <c r="C34" s="39">
        <f>IF(ISERROR(B34*3.6/1000000/'E Balans VL '!Z22*100),0,B34*3.6/1000000/'E Balans VL '!Z22*100)</f>
        <v>5.0254206531684671E-2</v>
      </c>
      <c r="D34" s="237" t="s">
        <v>754</v>
      </c>
    </row>
    <row r="35" spans="1:5">
      <c r="A35" s="171" t="s">
        <v>39</v>
      </c>
      <c r="B35" s="37">
        <f>IF( ISERROR(IND_papier_ele_kWh/1000),0,IND_papier_ele_kWh/1000)</f>
        <v>122.995119773751</v>
      </c>
      <c r="C35" s="39">
        <f>IF(ISERROR(B35*3.6/1000000/'E Balans VL '!Z22*100),0,B35*3.6/1000000/'E Balans VL '!Z22*100)</f>
        <v>2.2122984643755918E-2</v>
      </c>
      <c r="D35" s="237" t="s">
        <v>754</v>
      </c>
    </row>
    <row r="36" spans="1:5">
      <c r="A36" s="171" t="s">
        <v>34</v>
      </c>
      <c r="B36" s="37">
        <f>IF( ISERROR(IND_chemie_ele_kWh/1000),0,IND_chemie_ele_kWh/1000)</f>
        <v>60935.992124631499</v>
      </c>
      <c r="C36" s="39">
        <f>IF(ISERROR(B36*3.6/1000000/'E Balans VL '!Z24*100),0,B36*3.6/1000000/'E Balans VL '!Z24*100)</f>
        <v>1.8581836591954601</v>
      </c>
      <c r="D36" s="237" t="s">
        <v>754</v>
      </c>
    </row>
    <row r="37" spans="1:5">
      <c r="A37" s="171" t="s">
        <v>270</v>
      </c>
      <c r="B37" s="37">
        <f>IF( ISERROR(IND_rest_ele_kWh/1000),0,IND_rest_ele_kWh/1000)</f>
        <v>21919.839068126203</v>
      </c>
      <c r="C37" s="39">
        <f>IF(ISERROR(B37*3.6/1000000/'E Balans VL '!Z15*100),0,B37*3.6/1000000/'E Balans VL '!Z15*100)</f>
        <v>0.17374164473750905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4035.2918717403495</v>
      </c>
      <c r="C5" s="17">
        <f>'Eigen informatie GS &amp; warmtenet'!B60</f>
        <v>0</v>
      </c>
      <c r="D5" s="30">
        <f>IF(ISERROR(SUM(LB_lb_gas_kWh,LB_rest_gas_kWh,onbekend_gas_kWh)/1000),0,SUM(LB_lb_gas_kWh,LB_rest_gas_kWh,onbekend_gas_kWh)/1000)*0.902</f>
        <v>7439.6566569077577</v>
      </c>
      <c r="E5" s="17">
        <f>B17*'E Balans VL '!I25/3.6*1000000/100</f>
        <v>118.60955331441868</v>
      </c>
      <c r="F5" s="17">
        <f>B17*('E Balans VL '!L25/3.6*1000000+'E Balans VL '!N25/3.6*1000000)/100</f>
        <v>16810.807881942783</v>
      </c>
      <c r="G5" s="18"/>
      <c r="H5" s="17"/>
      <c r="I5" s="17"/>
      <c r="J5" s="17">
        <f>('E Balans VL '!D25+'E Balans VL '!E25)/3.6*1000000*landbouw!B17/100</f>
        <v>584.62713333025658</v>
      </c>
      <c r="K5" s="17"/>
      <c r="L5" s="17">
        <f>L6*(-1)</f>
        <v>0</v>
      </c>
      <c r="M5" s="17"/>
      <c r="N5" s="17">
        <f>N6*(-1)</f>
        <v>57407.142857142862</v>
      </c>
      <c r="O5" s="17"/>
      <c r="P5" s="17"/>
      <c r="R5" s="32"/>
    </row>
    <row r="6" spans="1:18">
      <c r="A6" s="16" t="s">
        <v>488</v>
      </c>
      <c r="B6" s="17" t="s">
        <v>211</v>
      </c>
      <c r="C6" s="17">
        <f>'lokale energieproductie'!O91+'lokale energieproductie'!O60</f>
        <v>28703.571428571428</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-57407.142857142862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4035.2918717403495</v>
      </c>
      <c r="C8" s="21">
        <f>C5+C6</f>
        <v>28703.571428571428</v>
      </c>
      <c r="D8" s="21">
        <f>MAX((D5+D6),0)</f>
        <v>7439.6566569077577</v>
      </c>
      <c r="E8" s="21">
        <f>MAX((E5+E6),0)</f>
        <v>118.60955331441868</v>
      </c>
      <c r="F8" s="21">
        <f>MAX((F5+F6),0)</f>
        <v>16810.807881942783</v>
      </c>
      <c r="G8" s="21"/>
      <c r="H8" s="21"/>
      <c r="I8" s="21"/>
      <c r="J8" s="21">
        <f>MAX((J5+J6),0)</f>
        <v>584.62713333025658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0.16249062593762562</v>
      </c>
      <c r="C10" s="31">
        <f ca="1">'EF ele_warmte'!B22</f>
        <v>2.8177519955527388E-2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655.69710208010224</v>
      </c>
      <c r="C12" s="23">
        <f ca="1">C8*C10</f>
        <v>808.79545672347717</v>
      </c>
      <c r="D12" s="23">
        <f>D8*D10</f>
        <v>1502.810644695367</v>
      </c>
      <c r="E12" s="23">
        <f>E8*E10</f>
        <v>26.92436860237304</v>
      </c>
      <c r="F12" s="23">
        <f>F8*F10</f>
        <v>4488.4857044787232</v>
      </c>
      <c r="G12" s="23"/>
      <c r="H12" s="23"/>
      <c r="I12" s="23"/>
      <c r="J12" s="23">
        <f>J8*J10</f>
        <v>206.95800519891083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0.57262057694210211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973.79083668618</v>
      </c>
      <c r="C26" s="247">
        <f>B26*'GWP N2O_CH4'!B5</f>
        <v>20449.607570409778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301.01748263135789</v>
      </c>
      <c r="C27" s="247">
        <f>B27*'GWP N2O_CH4'!B5</f>
        <v>6321.3671352585161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19.524071891326575</v>
      </c>
      <c r="C28" s="247">
        <f>B28*'GWP N2O_CH4'!B4</f>
        <v>6052.4622863112381</v>
      </c>
      <c r="D28" s="50"/>
    </row>
    <row r="29" spans="1:4">
      <c r="A29" s="41" t="s">
        <v>277</v>
      </c>
      <c r="B29" s="247">
        <f>B34*'ha_N2O bodem landbouw'!B4</f>
        <v>34.993748848422186</v>
      </c>
      <c r="C29" s="247">
        <f>B29*'GWP N2O_CH4'!B4</f>
        <v>10848.062143010877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7.9854528933865441E-3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5.7828388405652977E-4</v>
      </c>
      <c r="C5" s="463" t="s">
        <v>211</v>
      </c>
      <c r="D5" s="448">
        <f>SUM(D6:D11)</f>
        <v>1.9422142625421896E-3</v>
      </c>
      <c r="E5" s="448">
        <f>SUM(E6:E11)</f>
        <v>2.7314205463073128E-3</v>
      </c>
      <c r="F5" s="461" t="s">
        <v>211</v>
      </c>
      <c r="G5" s="448">
        <f>SUM(G6:G11)</f>
        <v>1.0923461769940379</v>
      </c>
      <c r="H5" s="448">
        <f>SUM(H6:H11)</f>
        <v>0.22131948020750988</v>
      </c>
      <c r="I5" s="463" t="s">
        <v>211</v>
      </c>
      <c r="J5" s="463" t="s">
        <v>211</v>
      </c>
      <c r="K5" s="463" t="s">
        <v>211</v>
      </c>
      <c r="L5" s="463" t="s">
        <v>211</v>
      </c>
      <c r="M5" s="448">
        <f>SUM(M6:M11)</f>
        <v>7.0389799316101745E-2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3.7989674715995598E-4</v>
      </c>
      <c r="C6" s="449"/>
      <c r="D6" s="962">
        <f>vkm_2011_GW_PW*SUMIFS(TableVerdeelsleutelVkm[CNG],TableVerdeelsleutelVkm[Voertuigtype],"Lichte voertuigen")*SUMIFS(TableECFTransport[EnergieConsumptieFactor (PJ per km)],TableECFTransport[Index],CONCATENATE($A6,"_CNG_CNG"))</f>
        <v>1.1394722005802138E-3</v>
      </c>
      <c r="E6" s="962">
        <f>vkm_2011_GW_PW*SUMIFS(TableVerdeelsleutelVkm[LPG],TableVerdeelsleutelVkm[Voertuigtype],"Lichte voertuigen")*SUMIFS(TableECFTransport[EnergieConsumptieFactor (PJ per km)],TableECFTransport[Index],CONCATENATE($A6,"_LPG_LPG"))</f>
        <v>1.5566827031078079E-3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0.40248678757945128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0.1295791832568243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2.7360992016145679E-2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0.24171162803308863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7.3655907482627698E-5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1.4124824938645725E-2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8.2121638577878505E-5</v>
      </c>
      <c r="C8" s="449"/>
      <c r="D8" s="451">
        <f>vkm_2011_NGW_PW*SUMIFS(TableVerdeelsleutelVkm[CNG],TableVerdeelsleutelVkm[Voertuigtype],"Lichte voertuigen")*SUMIFS(TableECFTransport[EnergieConsumptieFactor (PJ per km)],TableECFTransport[Index],CONCATENATE($A8,"_CNG_CNG"))</f>
        <v>4.3795577609265603E-4</v>
      </c>
      <c r="E8" s="451">
        <f>vkm_2011_NGW_PW*SUMIFS(TableVerdeelsleutelVkm[LPG],TableVerdeelsleutelVkm[Voertuigtype],"Lichte voertuigen")*SUMIFS(TableECFTransport[EnergieConsumptieFactor (PJ per km)],TableECFTransport[Index],CONCATENATE($A8,"_LPG_LPG"))</f>
        <v>5.541034150178362E-4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0.13350851338104838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4.8398305142147213E-2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9.2365742585773427E-3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1.3277214285967015E-2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3.8088814662077949E-6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7.758692829732568E-4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1.1626549831869532E-4</v>
      </c>
      <c r="C10" s="449"/>
      <c r="D10" s="451">
        <f>vkm_2011_SW_PW*SUMIFS(TableVerdeelsleutelVkm[CNG],TableVerdeelsleutelVkm[Voertuigtype],"Lichte voertuigen")*SUMIFS(TableECFTransport[EnergieConsumptieFactor (PJ per km)],TableECFTransport[Index],CONCATENATE($A10,"_CNG_CNG"))</f>
        <v>3.6478628586931978E-4</v>
      </c>
      <c r="E10" s="451">
        <f>vkm_2011_SW_PW*SUMIFS(TableVerdeelsleutelVkm[LPG],TableVerdeelsleutelVkm[Voertuigtype],"Lichte voertuigen")*SUMIFS(TableECFTransport[EnergieConsumptieFactor (PJ per km)],TableECFTransport[Index],CONCATENATE($A10,"_LPG_LPG"))</f>
        <v>6.2063442818166884E-4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0.14305764186580119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4.3212433640196335E-2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9.6406414652824256E-3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0.15830439184868142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5.2093379393202643E-5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9.2508973544773183E-3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160.63441223792492</v>
      </c>
      <c r="C14" s="21"/>
      <c r="D14" s="21">
        <f t="shared" ref="D14:M14" si="0">((D5)*10^9/3600)+D12</f>
        <v>539.5039618172749</v>
      </c>
      <c r="E14" s="21">
        <f t="shared" si="0"/>
        <v>758.7279295298091</v>
      </c>
      <c r="F14" s="21"/>
      <c r="G14" s="21">
        <f t="shared" si="0"/>
        <v>303429.49360945495</v>
      </c>
      <c r="H14" s="21">
        <f t="shared" si="0"/>
        <v>61477.633390974966</v>
      </c>
      <c r="I14" s="21"/>
      <c r="J14" s="21"/>
      <c r="K14" s="21"/>
      <c r="L14" s="21"/>
      <c r="M14" s="21">
        <f t="shared" si="0"/>
        <v>19552.722032250484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0.16249062593762562</v>
      </c>
      <c r="C16" s="56">
        <f ca="1">'EF ele_warmte'!B22</f>
        <v>2.8177519955527388E-2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26.10158619166301</v>
      </c>
      <c r="C18" s="23"/>
      <c r="D18" s="23">
        <f t="shared" ref="D18:M18" si="1">D14*D16</f>
        <v>108.97980028708953</v>
      </c>
      <c r="E18" s="23">
        <f t="shared" si="1"/>
        <v>172.23124000326666</v>
      </c>
      <c r="F18" s="23"/>
      <c r="G18" s="23">
        <f t="shared" si="1"/>
        <v>81015.67479372448</v>
      </c>
      <c r="H18" s="23">
        <f t="shared" si="1"/>
        <v>15307.930714352766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1.2448336618470463E-2</v>
      </c>
      <c r="H50" s="321">
        <f t="shared" si="2"/>
        <v>0</v>
      </c>
      <c r="I50" s="321">
        <f t="shared" si="2"/>
        <v>0</v>
      </c>
      <c r="J50" s="321">
        <f t="shared" si="2"/>
        <v>0</v>
      </c>
      <c r="K50" s="321">
        <f t="shared" si="2"/>
        <v>0</v>
      </c>
      <c r="L50" s="321">
        <f t="shared" si="2"/>
        <v>0</v>
      </c>
      <c r="M50" s="321">
        <f t="shared" si="2"/>
        <v>7.0701056579625923E-4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1.2448336618470463E-2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7.0701056579625923E-4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3457.871282908462</v>
      </c>
      <c r="H54" s="21">
        <f t="shared" si="3"/>
        <v>0</v>
      </c>
      <c r="I54" s="21">
        <f t="shared" si="3"/>
        <v>0</v>
      </c>
      <c r="J54" s="21">
        <f t="shared" si="3"/>
        <v>0</v>
      </c>
      <c r="K54" s="21">
        <f t="shared" si="3"/>
        <v>0</v>
      </c>
      <c r="L54" s="21">
        <f t="shared" si="3"/>
        <v>0</v>
      </c>
      <c r="M54" s="21">
        <f t="shared" si="3"/>
        <v>196.39182383229422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0.16249062593762562</v>
      </c>
      <c r="C56" s="56">
        <f ca="1">'EF ele_warmte'!B22</f>
        <v>2.8177519955527388E-2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923.25163253655944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26179.773907833565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23076.173347218071</v>
      </c>
      <c r="C6" s="1263"/>
      <c r="D6" s="1248"/>
      <c r="E6" s="1248"/>
      <c r="F6" s="1266"/>
      <c r="G6" s="1269"/>
      <c r="H6" s="1260"/>
      <c r="I6" s="1248"/>
      <c r="J6" s="1248"/>
      <c r="K6" s="1248"/>
      <c r="L6" s="1252"/>
      <c r="M6" s="575"/>
      <c r="N6" s="1226"/>
      <c r="O6" s="1227"/>
      <c r="Q6" s="573"/>
      <c r="R6" s="1214"/>
      <c r="S6" s="1214"/>
    </row>
    <row r="7" spans="1:19" s="563" customFormat="1">
      <c r="A7" s="576" t="s">
        <v>252</v>
      </c>
      <c r="B7" s="577">
        <f>N57</f>
        <v>22795.791666666668</v>
      </c>
      <c r="C7" s="578">
        <f>B100</f>
        <v>3179.8459138096277</v>
      </c>
      <c r="D7" s="579"/>
      <c r="E7" s="579">
        <f>E100</f>
        <v>0</v>
      </c>
      <c r="F7" s="580"/>
      <c r="G7" s="581"/>
      <c r="H7" s="579">
        <f>I100</f>
        <v>0</v>
      </c>
      <c r="I7" s="579">
        <f>G100+F100</f>
        <v>0</v>
      </c>
      <c r="J7" s="579">
        <f>H100+D100+C100</f>
        <v>23638.222448947676</v>
      </c>
      <c r="K7" s="579"/>
      <c r="L7" s="582"/>
      <c r="M7" s="583">
        <f>C7*$C$11+D7*$D$11+E7*$E$11+F7*$F$11+G7*$G$11+H7*$H$11+I7*$I$11+J7*$J$11</f>
        <v>642.32887458954485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72051.738921718308</v>
      </c>
      <c r="C9" s="594">
        <f t="shared" ref="C9:L9" si="0">SUM(C7:C8)</f>
        <v>3179.8459138096277</v>
      </c>
      <c r="D9" s="594">
        <f t="shared" si="0"/>
        <v>0</v>
      </c>
      <c r="E9" s="594">
        <f t="shared" si="0"/>
        <v>0</v>
      </c>
      <c r="F9" s="594">
        <f t="shared" si="0"/>
        <v>0</v>
      </c>
      <c r="G9" s="594">
        <f t="shared" si="0"/>
        <v>0</v>
      </c>
      <c r="H9" s="594">
        <f t="shared" si="0"/>
        <v>0</v>
      </c>
      <c r="I9" s="594">
        <f t="shared" si="0"/>
        <v>0</v>
      </c>
      <c r="J9" s="594">
        <f t="shared" si="0"/>
        <v>23638.222448947676</v>
      </c>
      <c r="K9" s="594">
        <f t="shared" si="0"/>
        <v>0</v>
      </c>
      <c r="L9" s="594">
        <f t="shared" si="0"/>
        <v>0</v>
      </c>
      <c r="M9" s="595">
        <f>SUM(M4:M8)</f>
        <v>642.32887458954485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32565.446750321749</v>
      </c>
      <c r="C16" s="610">
        <f>B101</f>
        <v>4542.6412161775024</v>
      </c>
      <c r="D16" s="611"/>
      <c r="E16" s="611">
        <f>E101</f>
        <v>0</v>
      </c>
      <c r="F16" s="612"/>
      <c r="G16" s="613"/>
      <c r="H16" s="610">
        <f>I101</f>
        <v>0</v>
      </c>
      <c r="I16" s="611">
        <f>G101+F101</f>
        <v>0</v>
      </c>
      <c r="J16" s="611">
        <f>H101+D101+C101</f>
        <v>33768.920408195183</v>
      </c>
      <c r="K16" s="611"/>
      <c r="L16" s="614"/>
      <c r="M16" s="615">
        <f>C16*$C$21+E16*$E$21+H16*$H$21+I16*$I$21+J16*$J$21+D16*$D$21+F16*$F$21+G16*$G$21+K16*$K$21+L16*$L$21</f>
        <v>917.61352566785558</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32565.446750321749</v>
      </c>
      <c r="C19" s="593">
        <f>SUM(C16:C18)</f>
        <v>4542.6412161775024</v>
      </c>
      <c r="D19" s="593">
        <f t="shared" ref="D19:M19" si="1">SUM(D16:D18)</f>
        <v>0</v>
      </c>
      <c r="E19" s="593">
        <f t="shared" si="1"/>
        <v>0</v>
      </c>
      <c r="F19" s="593">
        <f t="shared" si="1"/>
        <v>0</v>
      </c>
      <c r="G19" s="593">
        <f t="shared" si="1"/>
        <v>0</v>
      </c>
      <c r="H19" s="593">
        <f t="shared" si="1"/>
        <v>0</v>
      </c>
      <c r="I19" s="593">
        <f t="shared" si="1"/>
        <v>0</v>
      </c>
      <c r="J19" s="593">
        <f t="shared" si="1"/>
        <v>33768.920408195183</v>
      </c>
      <c r="K19" s="593">
        <f t="shared" si="1"/>
        <v>0</v>
      </c>
      <c r="L19" s="593">
        <f t="shared" si="1"/>
        <v>0</v>
      </c>
      <c r="M19" s="620">
        <f t="shared" si="1"/>
        <v>917.61352566785558</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13008</v>
      </c>
      <c r="C27" s="851">
        <v>2440</v>
      </c>
      <c r="D27" s="672" t="s">
        <v>844</v>
      </c>
      <c r="E27" s="671" t="s">
        <v>845</v>
      </c>
      <c r="F27" s="671" t="s">
        <v>846</v>
      </c>
      <c r="G27" s="671" t="s">
        <v>847</v>
      </c>
      <c r="H27" s="671" t="s">
        <v>848</v>
      </c>
      <c r="I27" s="671" t="s">
        <v>845</v>
      </c>
      <c r="J27" s="850">
        <v>41249</v>
      </c>
      <c r="K27" s="850">
        <v>41249</v>
      </c>
      <c r="L27" s="671" t="s">
        <v>849</v>
      </c>
      <c r="M27" s="671">
        <v>4465</v>
      </c>
      <c r="N27" s="671">
        <v>20092.5</v>
      </c>
      <c r="O27" s="671">
        <v>28703.571428571428</v>
      </c>
      <c r="P27" s="671">
        <v>0</v>
      </c>
      <c r="Q27" s="671">
        <v>57407.142857142862</v>
      </c>
      <c r="R27" s="671">
        <v>0</v>
      </c>
      <c r="S27" s="671">
        <v>0</v>
      </c>
      <c r="T27" s="671">
        <v>0</v>
      </c>
      <c r="U27" s="671">
        <v>0</v>
      </c>
      <c r="V27" s="671">
        <v>0</v>
      </c>
      <c r="W27" s="671">
        <v>0</v>
      </c>
      <c r="X27" s="671">
        <v>10</v>
      </c>
      <c r="Y27" s="671" t="s">
        <v>112</v>
      </c>
      <c r="Z27" s="673" t="s">
        <v>112</v>
      </c>
    </row>
    <row r="28" spans="1:26" s="625" customFormat="1" ht="38.25">
      <c r="A28" s="624"/>
      <c r="B28" s="851">
        <v>13008</v>
      </c>
      <c r="C28" s="851">
        <v>2440</v>
      </c>
      <c r="D28" s="672" t="s">
        <v>850</v>
      </c>
      <c r="E28" s="671" t="s">
        <v>851</v>
      </c>
      <c r="F28" s="671" t="s">
        <v>852</v>
      </c>
      <c r="G28" s="671" t="s">
        <v>847</v>
      </c>
      <c r="H28" s="671" t="s">
        <v>848</v>
      </c>
      <c r="I28" s="671" t="s">
        <v>851</v>
      </c>
      <c r="J28" s="850">
        <v>41263</v>
      </c>
      <c r="K28" s="850">
        <v>41985</v>
      </c>
      <c r="L28" s="671" t="s">
        <v>849</v>
      </c>
      <c r="M28" s="671">
        <v>509</v>
      </c>
      <c r="N28" s="671">
        <v>2290.5</v>
      </c>
      <c r="O28" s="671">
        <v>3272.1428571428573</v>
      </c>
      <c r="P28" s="671">
        <v>6544.2857142857147</v>
      </c>
      <c r="Q28" s="671">
        <v>0</v>
      </c>
      <c r="R28" s="671">
        <v>0</v>
      </c>
      <c r="S28" s="671">
        <v>0</v>
      </c>
      <c r="T28" s="671">
        <v>0</v>
      </c>
      <c r="U28" s="671">
        <v>0</v>
      </c>
      <c r="V28" s="671">
        <v>0</v>
      </c>
      <c r="W28" s="671">
        <v>0</v>
      </c>
      <c r="X28" s="671">
        <v>1500</v>
      </c>
      <c r="Y28" s="671" t="s">
        <v>51</v>
      </c>
      <c r="Z28" s="673" t="s">
        <v>156</v>
      </c>
    </row>
    <row r="29" spans="1:26" s="625" customFormat="1" ht="63.75">
      <c r="A29" s="624"/>
      <c r="B29" s="851">
        <v>13008</v>
      </c>
      <c r="C29" s="851">
        <v>2440</v>
      </c>
      <c r="D29" s="672"/>
      <c r="E29" s="671"/>
      <c r="F29" s="671" t="s">
        <v>853</v>
      </c>
      <c r="G29" s="671" t="s">
        <v>847</v>
      </c>
      <c r="H29" s="671" t="s">
        <v>848</v>
      </c>
      <c r="I29" s="671" t="s">
        <v>854</v>
      </c>
      <c r="J29" s="850">
        <v>41704</v>
      </c>
      <c r="K29" s="850">
        <v>41597</v>
      </c>
      <c r="L29" s="671" t="s">
        <v>849</v>
      </c>
      <c r="M29" s="671">
        <v>20</v>
      </c>
      <c r="N29" s="671">
        <v>90</v>
      </c>
      <c r="O29" s="671">
        <v>128.57142857142858</v>
      </c>
      <c r="P29" s="671">
        <v>257.14285714285717</v>
      </c>
      <c r="Q29" s="671">
        <v>0</v>
      </c>
      <c r="R29" s="671">
        <v>0</v>
      </c>
      <c r="S29" s="671">
        <v>0</v>
      </c>
      <c r="T29" s="671">
        <v>0</v>
      </c>
      <c r="U29" s="671">
        <v>0</v>
      </c>
      <c r="V29" s="671">
        <v>0</v>
      </c>
      <c r="W29" s="671">
        <v>0</v>
      </c>
      <c r="X29" s="671">
        <v>1600</v>
      </c>
      <c r="Y29" s="671" t="s">
        <v>50</v>
      </c>
      <c r="Z29" s="673" t="s">
        <v>156</v>
      </c>
    </row>
    <row r="30" spans="1:26" s="625" customFormat="1" ht="25.5">
      <c r="A30" s="624"/>
      <c r="B30" s="851">
        <v>13008</v>
      </c>
      <c r="C30" s="851">
        <v>2440</v>
      </c>
      <c r="D30" s="672"/>
      <c r="E30" s="671"/>
      <c r="F30" s="671" t="s">
        <v>855</v>
      </c>
      <c r="G30" s="671" t="s">
        <v>856</v>
      </c>
      <c r="H30" s="671" t="s">
        <v>856</v>
      </c>
      <c r="I30" s="671" t="s">
        <v>857</v>
      </c>
      <c r="J30" s="850">
        <v>42365</v>
      </c>
      <c r="K30" s="850">
        <v>42365</v>
      </c>
      <c r="L30" s="671" t="s">
        <v>849</v>
      </c>
      <c r="M30" s="671">
        <v>1.7</v>
      </c>
      <c r="N30" s="671">
        <v>0</v>
      </c>
      <c r="O30" s="671">
        <v>0</v>
      </c>
      <c r="P30" s="671">
        <v>0</v>
      </c>
      <c r="Q30" s="671">
        <v>0</v>
      </c>
      <c r="R30" s="671">
        <v>0</v>
      </c>
      <c r="S30" s="671">
        <v>0</v>
      </c>
      <c r="T30" s="671">
        <v>0</v>
      </c>
      <c r="U30" s="671">
        <v>0</v>
      </c>
      <c r="V30" s="671">
        <v>0</v>
      </c>
      <c r="W30" s="671">
        <v>0</v>
      </c>
      <c r="X30" s="671">
        <v>10</v>
      </c>
      <c r="Y30" s="671" t="s">
        <v>112</v>
      </c>
      <c r="Z30" s="673" t="s">
        <v>112</v>
      </c>
    </row>
    <row r="31" spans="1:26" s="625" customFormat="1" ht="63.75">
      <c r="A31" s="624"/>
      <c r="B31" s="851">
        <v>13008</v>
      </c>
      <c r="C31" s="851">
        <v>2440</v>
      </c>
      <c r="D31" s="672" t="s">
        <v>858</v>
      </c>
      <c r="E31" s="671"/>
      <c r="F31" s="671" t="s">
        <v>859</v>
      </c>
      <c r="G31" s="671" t="s">
        <v>847</v>
      </c>
      <c r="H31" s="671" t="s">
        <v>848</v>
      </c>
      <c r="I31" s="671" t="s">
        <v>860</v>
      </c>
      <c r="J31" s="850">
        <v>42312</v>
      </c>
      <c r="K31" s="850">
        <v>42269</v>
      </c>
      <c r="L31" s="671" t="s">
        <v>861</v>
      </c>
      <c r="M31" s="671">
        <v>70</v>
      </c>
      <c r="N31" s="671">
        <v>315.00000000000006</v>
      </c>
      <c r="O31" s="671">
        <v>450.00000000000011</v>
      </c>
      <c r="P31" s="671">
        <v>900.00000000000023</v>
      </c>
      <c r="Q31" s="671">
        <v>0</v>
      </c>
      <c r="R31" s="671">
        <v>0</v>
      </c>
      <c r="S31" s="671">
        <v>0</v>
      </c>
      <c r="T31" s="671">
        <v>0</v>
      </c>
      <c r="U31" s="671">
        <v>0</v>
      </c>
      <c r="V31" s="671">
        <v>0</v>
      </c>
      <c r="W31" s="671">
        <v>0</v>
      </c>
      <c r="X31" s="671">
        <v>1600</v>
      </c>
      <c r="Y31" s="671" t="s">
        <v>50</v>
      </c>
      <c r="Z31" s="673" t="s">
        <v>156</v>
      </c>
    </row>
    <row r="32" spans="1:26" s="625" customFormat="1" ht="38.25">
      <c r="A32" s="624"/>
      <c r="B32" s="851">
        <v>13008</v>
      </c>
      <c r="C32" s="851">
        <v>2440</v>
      </c>
      <c r="D32" s="672"/>
      <c r="E32" s="671"/>
      <c r="F32" s="671" t="s">
        <v>862</v>
      </c>
      <c r="G32" s="671" t="s">
        <v>856</v>
      </c>
      <c r="H32" s="671" t="s">
        <v>856</v>
      </c>
      <c r="I32" s="671" t="s">
        <v>863</v>
      </c>
      <c r="J32" s="850">
        <v>42384</v>
      </c>
      <c r="K32" s="850">
        <v>42384</v>
      </c>
      <c r="L32" s="671" t="s">
        <v>849</v>
      </c>
      <c r="M32" s="671">
        <v>1.7</v>
      </c>
      <c r="N32" s="671">
        <v>7.7916666666666661</v>
      </c>
      <c r="O32" s="671">
        <v>11.161036036036036</v>
      </c>
      <c r="P32" s="671">
        <v>21.058558558558556</v>
      </c>
      <c r="Q32" s="671">
        <v>0</v>
      </c>
      <c r="R32" s="671">
        <v>0</v>
      </c>
      <c r="S32" s="671">
        <v>0</v>
      </c>
      <c r="T32" s="671">
        <v>0</v>
      </c>
      <c r="U32" s="671">
        <v>0</v>
      </c>
      <c r="V32" s="671">
        <v>0</v>
      </c>
      <c r="W32" s="671">
        <v>0</v>
      </c>
      <c r="X32" s="671">
        <v>1500</v>
      </c>
      <c r="Y32" s="671" t="s">
        <v>51</v>
      </c>
      <c r="Z32" s="673" t="s">
        <v>156</v>
      </c>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5067.3999999999996</v>
      </c>
      <c r="N57" s="629">
        <f>SUM(N27:N56)</f>
        <v>22795.791666666668</v>
      </c>
      <c r="O57" s="629">
        <f t="shared" ref="O57:W57" si="2">SUM(O27:O56)</f>
        <v>32565.446750321749</v>
      </c>
      <c r="P57" s="629">
        <f t="shared" si="2"/>
        <v>7722.4871299871302</v>
      </c>
      <c r="Q57" s="629">
        <f t="shared" si="2"/>
        <v>57407.142857142862</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600.70000000000005</v>
      </c>
      <c r="N59" s="629">
        <f ca="1">SUMIF($Z$27:AB56,"tertiair",N27:N56)</f>
        <v>2703.2916666666665</v>
      </c>
      <c r="O59" s="629">
        <f ca="1">SUMIF($Z$27:AC56,"tertiair",O27:O56)</f>
        <v>3861.8753217503217</v>
      </c>
      <c r="P59" s="629">
        <f ca="1">SUMIF($Z$27:AD56,"tertiair",P27:P56)</f>
        <v>7722.4871299871302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4466.7</v>
      </c>
      <c r="N60" s="634">
        <f t="shared" ref="N60:W60" si="4">SUMIF($Z$27:$Z$56,"landbouw",N27:N56)</f>
        <v>20092.5</v>
      </c>
      <c r="O60" s="634">
        <f t="shared" si="4"/>
        <v>28703.571428571428</v>
      </c>
      <c r="P60" s="634">
        <f t="shared" si="4"/>
        <v>0</v>
      </c>
      <c r="Q60" s="634">
        <f t="shared" si="4"/>
        <v>57407.142857142862</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0.5882355178732519</v>
      </c>
      <c r="C97" s="654">
        <f>IF(ISERROR(N57/(O57+N57)),0,N57/(N57+O57))</f>
        <v>0.4117644821267481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3179.8459138096277</v>
      </c>
      <c r="C100" s="663">
        <f t="shared" si="9"/>
        <v>23638.222448947676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4542.6412161775024</v>
      </c>
      <c r="C101" s="666">
        <f t="shared" ref="C101:H101" si="10">$B$97*Q57</f>
        <v>33768.920408195183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90186.479002531269</v>
      </c>
      <c r="D10" s="718">
        <f ca="1">tertiair!C16</f>
        <v>3861.8753217503217</v>
      </c>
      <c r="E10" s="718">
        <f ca="1">tertiair!D16</f>
        <v>87145.453798373608</v>
      </c>
      <c r="F10" s="718">
        <f>tertiair!E16</f>
        <v>905.76655850938164</v>
      </c>
      <c r="G10" s="718">
        <f ca="1">tertiair!F16</f>
        <v>15481.927576288557</v>
      </c>
      <c r="H10" s="718">
        <f>tertiair!G16</f>
        <v>0</v>
      </c>
      <c r="I10" s="718">
        <f>tertiair!H16</f>
        <v>0</v>
      </c>
      <c r="J10" s="718">
        <f>tertiair!I16</f>
        <v>0</v>
      </c>
      <c r="K10" s="718">
        <f>tertiair!J16</f>
        <v>0.35257577450763095</v>
      </c>
      <c r="L10" s="718">
        <f>tertiair!K16</f>
        <v>0</v>
      </c>
      <c r="M10" s="718">
        <f ca="1">tertiair!L16</f>
        <v>0</v>
      </c>
      <c r="N10" s="718">
        <f>tertiair!M16</f>
        <v>0</v>
      </c>
      <c r="O10" s="718">
        <f ca="1">tertiair!N16</f>
        <v>14030.608952783803</v>
      </c>
      <c r="P10" s="718">
        <f>tertiair!O16</f>
        <v>7.8166666666666664</v>
      </c>
      <c r="Q10" s="719">
        <f>tertiair!P16</f>
        <v>114.4</v>
      </c>
      <c r="R10" s="721">
        <f ca="1">SUM(C10:Q10)</f>
        <v>211734.68045267812</v>
      </c>
      <c r="S10" s="67"/>
    </row>
    <row r="11" spans="1:19" s="474" customFormat="1">
      <c r="A11" s="870" t="s">
        <v>225</v>
      </c>
      <c r="B11" s="875"/>
      <c r="C11" s="718">
        <f>huishoudens!B8</f>
        <v>64905.799359272241</v>
      </c>
      <c r="D11" s="718">
        <f>huishoudens!C8</f>
        <v>0</v>
      </c>
      <c r="E11" s="718">
        <f>huishoudens!D8</f>
        <v>155508.32553201224</v>
      </c>
      <c r="F11" s="718">
        <f>huishoudens!E8</f>
        <v>14481.516005321862</v>
      </c>
      <c r="G11" s="718">
        <f>huishoudens!F8</f>
        <v>36347.154444657215</v>
      </c>
      <c r="H11" s="718">
        <f>huishoudens!G8</f>
        <v>0</v>
      </c>
      <c r="I11" s="718">
        <f>huishoudens!H8</f>
        <v>0</v>
      </c>
      <c r="J11" s="718">
        <f>huishoudens!I8</f>
        <v>0</v>
      </c>
      <c r="K11" s="718">
        <f>huishoudens!J8</f>
        <v>0</v>
      </c>
      <c r="L11" s="718">
        <f>huishoudens!K8</f>
        <v>0</v>
      </c>
      <c r="M11" s="718">
        <f>huishoudens!L8</f>
        <v>0</v>
      </c>
      <c r="N11" s="718">
        <f>huishoudens!M8</f>
        <v>0</v>
      </c>
      <c r="O11" s="718">
        <f>huishoudens!N8</f>
        <v>55774.769622915934</v>
      </c>
      <c r="P11" s="718">
        <f>huishoudens!O8</f>
        <v>884.84666666666681</v>
      </c>
      <c r="Q11" s="719">
        <f>huishoudens!P8</f>
        <v>4099.333333333333</v>
      </c>
      <c r="R11" s="721">
        <f>SUM(C11:Q11)</f>
        <v>332001.74496417952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101885.42217886433</v>
      </c>
      <c r="D13" s="718">
        <f>industrie!C18</f>
        <v>0</v>
      </c>
      <c r="E13" s="718">
        <f>industrie!D18</f>
        <v>128182.95453476562</v>
      </c>
      <c r="F13" s="718">
        <f>industrie!E18</f>
        <v>3619.4171854079295</v>
      </c>
      <c r="G13" s="718">
        <f>industrie!F18</f>
        <v>11920.650003639857</v>
      </c>
      <c r="H13" s="718">
        <f>industrie!G18</f>
        <v>0</v>
      </c>
      <c r="I13" s="718">
        <f>industrie!H18</f>
        <v>0</v>
      </c>
      <c r="J13" s="718">
        <f>industrie!I18</f>
        <v>0</v>
      </c>
      <c r="K13" s="718">
        <f>industrie!J18</f>
        <v>78.950757409087174</v>
      </c>
      <c r="L13" s="718">
        <f>industrie!K18</f>
        <v>0</v>
      </c>
      <c r="M13" s="718">
        <f>industrie!L18</f>
        <v>0</v>
      </c>
      <c r="N13" s="718">
        <f>industrie!M18</f>
        <v>0</v>
      </c>
      <c r="O13" s="718">
        <f>industrie!N18</f>
        <v>9952.7888444462951</v>
      </c>
      <c r="P13" s="718">
        <f>industrie!O18</f>
        <v>0</v>
      </c>
      <c r="Q13" s="719">
        <f>industrie!P18</f>
        <v>0</v>
      </c>
      <c r="R13" s="721">
        <f>SUM(C13:Q13)</f>
        <v>255640.18350453314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256977.70054066784</v>
      </c>
      <c r="D15" s="723">
        <f t="shared" ref="D15:Q15" ca="1" si="0">SUM(D9:D14)</f>
        <v>3861.8753217503217</v>
      </c>
      <c r="E15" s="723">
        <f t="shared" ca="1" si="0"/>
        <v>370836.73386515147</v>
      </c>
      <c r="F15" s="723">
        <f t="shared" si="0"/>
        <v>19006.699749239175</v>
      </c>
      <c r="G15" s="723">
        <f t="shared" ca="1" si="0"/>
        <v>63749.732024585632</v>
      </c>
      <c r="H15" s="723">
        <f t="shared" si="0"/>
        <v>0</v>
      </c>
      <c r="I15" s="723">
        <f t="shared" si="0"/>
        <v>0</v>
      </c>
      <c r="J15" s="723">
        <f t="shared" si="0"/>
        <v>0</v>
      </c>
      <c r="K15" s="723">
        <f t="shared" si="0"/>
        <v>79.303333183594802</v>
      </c>
      <c r="L15" s="723">
        <f t="shared" si="0"/>
        <v>0</v>
      </c>
      <c r="M15" s="723">
        <f t="shared" ca="1" si="0"/>
        <v>0</v>
      </c>
      <c r="N15" s="723">
        <f t="shared" si="0"/>
        <v>0</v>
      </c>
      <c r="O15" s="723">
        <f t="shared" ca="1" si="0"/>
        <v>79758.167420146026</v>
      </c>
      <c r="P15" s="723">
        <f t="shared" si="0"/>
        <v>892.66333333333353</v>
      </c>
      <c r="Q15" s="724">
        <f t="shared" si="0"/>
        <v>4213.7333333333327</v>
      </c>
      <c r="R15" s="725">
        <f ca="1">SUM(R9:R14)</f>
        <v>799376.60892139084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3457.871282908462</v>
      </c>
      <c r="I18" s="718">
        <f>transport!H54</f>
        <v>0</v>
      </c>
      <c r="J18" s="718">
        <f>transport!I54</f>
        <v>0</v>
      </c>
      <c r="K18" s="718">
        <f>transport!J54</f>
        <v>0</v>
      </c>
      <c r="L18" s="718">
        <f>transport!K54</f>
        <v>0</v>
      </c>
      <c r="M18" s="718">
        <f>transport!L54</f>
        <v>0</v>
      </c>
      <c r="N18" s="718">
        <f>transport!M54</f>
        <v>196.39182383229422</v>
      </c>
      <c r="O18" s="718">
        <f>transport!N54</f>
        <v>0</v>
      </c>
      <c r="P18" s="718">
        <f>transport!O54</f>
        <v>0</v>
      </c>
      <c r="Q18" s="719">
        <f>transport!P54</f>
        <v>0</v>
      </c>
      <c r="R18" s="721">
        <f>SUM(C18:Q18)</f>
        <v>3654.2631067407565</v>
      </c>
      <c r="S18" s="67"/>
    </row>
    <row r="19" spans="1:19" s="474" customFormat="1" ht="15" thickBot="1">
      <c r="A19" s="870" t="s">
        <v>307</v>
      </c>
      <c r="B19" s="875"/>
      <c r="C19" s="727">
        <f>transport!B14</f>
        <v>160.63441223792492</v>
      </c>
      <c r="D19" s="727">
        <f>transport!C14</f>
        <v>0</v>
      </c>
      <c r="E19" s="727">
        <f>transport!D14</f>
        <v>539.5039618172749</v>
      </c>
      <c r="F19" s="727">
        <f>transport!E14</f>
        <v>758.7279295298091</v>
      </c>
      <c r="G19" s="727">
        <f>transport!F14</f>
        <v>0</v>
      </c>
      <c r="H19" s="727">
        <f>transport!G14</f>
        <v>303429.49360945495</v>
      </c>
      <c r="I19" s="727">
        <f>transport!H14</f>
        <v>61477.633390974966</v>
      </c>
      <c r="J19" s="727">
        <f>transport!I14</f>
        <v>0</v>
      </c>
      <c r="K19" s="727">
        <f>transport!J14</f>
        <v>0</v>
      </c>
      <c r="L19" s="727">
        <f>transport!K14</f>
        <v>0</v>
      </c>
      <c r="M19" s="727">
        <f>transport!L14</f>
        <v>0</v>
      </c>
      <c r="N19" s="727">
        <f>transport!M14</f>
        <v>19552.722032250484</v>
      </c>
      <c r="O19" s="727">
        <f>transport!N14</f>
        <v>0</v>
      </c>
      <c r="P19" s="727">
        <f>transport!O14</f>
        <v>0</v>
      </c>
      <c r="Q19" s="728">
        <f>transport!P14</f>
        <v>0</v>
      </c>
      <c r="R19" s="729">
        <f>SUM(C19:Q19)</f>
        <v>385918.71533626539</v>
      </c>
      <c r="S19" s="67"/>
    </row>
    <row r="20" spans="1:19" s="474" customFormat="1" ht="15.75" thickBot="1">
      <c r="A20" s="730" t="s">
        <v>230</v>
      </c>
      <c r="B20" s="878"/>
      <c r="C20" s="873">
        <f>SUM(C17:C19)</f>
        <v>160.63441223792492</v>
      </c>
      <c r="D20" s="731">
        <f t="shared" ref="D20:R20" si="1">SUM(D17:D19)</f>
        <v>0</v>
      </c>
      <c r="E20" s="731">
        <f t="shared" si="1"/>
        <v>539.5039618172749</v>
      </c>
      <c r="F20" s="731">
        <f t="shared" si="1"/>
        <v>758.7279295298091</v>
      </c>
      <c r="G20" s="731">
        <f t="shared" si="1"/>
        <v>0</v>
      </c>
      <c r="H20" s="731">
        <f t="shared" si="1"/>
        <v>306887.36489236343</v>
      </c>
      <c r="I20" s="731">
        <f t="shared" si="1"/>
        <v>61477.633390974966</v>
      </c>
      <c r="J20" s="731">
        <f t="shared" si="1"/>
        <v>0</v>
      </c>
      <c r="K20" s="731">
        <f t="shared" si="1"/>
        <v>0</v>
      </c>
      <c r="L20" s="731">
        <f t="shared" si="1"/>
        <v>0</v>
      </c>
      <c r="M20" s="731">
        <f t="shared" si="1"/>
        <v>0</v>
      </c>
      <c r="N20" s="731">
        <f t="shared" si="1"/>
        <v>19749.113856082779</v>
      </c>
      <c r="O20" s="731">
        <f t="shared" si="1"/>
        <v>0</v>
      </c>
      <c r="P20" s="731">
        <f t="shared" si="1"/>
        <v>0</v>
      </c>
      <c r="Q20" s="732">
        <f t="shared" si="1"/>
        <v>0</v>
      </c>
      <c r="R20" s="733">
        <f t="shared" si="1"/>
        <v>389572.97844300617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4035.2918717403495</v>
      </c>
      <c r="D22" s="727">
        <f>+landbouw!C8</f>
        <v>28703.571428571428</v>
      </c>
      <c r="E22" s="727">
        <f>+landbouw!D8</f>
        <v>7439.6566569077577</v>
      </c>
      <c r="F22" s="727">
        <f>+landbouw!E8</f>
        <v>118.60955331441868</v>
      </c>
      <c r="G22" s="727">
        <f>+landbouw!F8</f>
        <v>16810.807881942783</v>
      </c>
      <c r="H22" s="727">
        <f>+landbouw!G8</f>
        <v>0</v>
      </c>
      <c r="I22" s="727">
        <f>+landbouw!H8</f>
        <v>0</v>
      </c>
      <c r="J22" s="727">
        <f>+landbouw!I8</f>
        <v>0</v>
      </c>
      <c r="K22" s="727">
        <f>+landbouw!J8</f>
        <v>584.62713333025658</v>
      </c>
      <c r="L22" s="727">
        <f>+landbouw!K8</f>
        <v>0</v>
      </c>
      <c r="M22" s="727">
        <f>+landbouw!L8</f>
        <v>0</v>
      </c>
      <c r="N22" s="727">
        <f>+landbouw!M8</f>
        <v>0</v>
      </c>
      <c r="O22" s="727">
        <f>+landbouw!N8</f>
        <v>0</v>
      </c>
      <c r="P22" s="727">
        <f>+landbouw!O8</f>
        <v>0</v>
      </c>
      <c r="Q22" s="728">
        <f>+landbouw!P8</f>
        <v>0</v>
      </c>
      <c r="R22" s="729">
        <f>SUM(C22:Q22)</f>
        <v>57692.564525806993</v>
      </c>
      <c r="S22" s="67"/>
    </row>
    <row r="23" spans="1:19" s="474" customFormat="1" ht="17.25" thickTop="1" thickBot="1">
      <c r="A23" s="734" t="s">
        <v>116</v>
      </c>
      <c r="B23" s="864"/>
      <c r="C23" s="735">
        <f ca="1">C20+C15+C22</f>
        <v>261173.62682464611</v>
      </c>
      <c r="D23" s="735">
        <f t="shared" ref="D23:Q23" ca="1" si="2">D20+D15+D22</f>
        <v>32565.446750321749</v>
      </c>
      <c r="E23" s="735">
        <f t="shared" ca="1" si="2"/>
        <v>378815.89448387653</v>
      </c>
      <c r="F23" s="735">
        <f t="shared" si="2"/>
        <v>19884.037232083403</v>
      </c>
      <c r="G23" s="735">
        <f t="shared" ca="1" si="2"/>
        <v>80560.539906528415</v>
      </c>
      <c r="H23" s="735">
        <f t="shared" si="2"/>
        <v>306887.36489236343</v>
      </c>
      <c r="I23" s="735">
        <f t="shared" si="2"/>
        <v>61477.633390974966</v>
      </c>
      <c r="J23" s="735">
        <f t="shared" si="2"/>
        <v>0</v>
      </c>
      <c r="K23" s="735">
        <f t="shared" si="2"/>
        <v>663.93046651385134</v>
      </c>
      <c r="L23" s="735">
        <f t="shared" si="2"/>
        <v>0</v>
      </c>
      <c r="M23" s="735">
        <f t="shared" ca="1" si="2"/>
        <v>0</v>
      </c>
      <c r="N23" s="735">
        <f t="shared" si="2"/>
        <v>19749.113856082779</v>
      </c>
      <c r="O23" s="735">
        <f t="shared" ca="1" si="2"/>
        <v>79758.167420146026</v>
      </c>
      <c r="P23" s="735">
        <f t="shared" si="2"/>
        <v>892.66333333333353</v>
      </c>
      <c r="Q23" s="736">
        <f t="shared" si="2"/>
        <v>4213.7333333333327</v>
      </c>
      <c r="R23" s="737">
        <f ca="1">R20+R15+R22</f>
        <v>1246642.1518902041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14654.457424231836</v>
      </c>
      <c r="D36" s="718">
        <f ca="1">tertiair!C20</f>
        <v>108.81806894437844</v>
      </c>
      <c r="E36" s="718">
        <f ca="1">tertiair!D20</f>
        <v>17603.381667271471</v>
      </c>
      <c r="F36" s="718">
        <f>tertiair!E20</f>
        <v>205.60900878162963</v>
      </c>
      <c r="G36" s="718">
        <f ca="1">tertiair!F20</f>
        <v>4133.6746628690453</v>
      </c>
      <c r="H36" s="718">
        <f>tertiair!G20</f>
        <v>0</v>
      </c>
      <c r="I36" s="718">
        <f>tertiair!H20</f>
        <v>0</v>
      </c>
      <c r="J36" s="718">
        <f>tertiair!I20</f>
        <v>0</v>
      </c>
      <c r="K36" s="718">
        <f>tertiair!J20</f>
        <v>0.12481182417570134</v>
      </c>
      <c r="L36" s="718">
        <f>tertiair!K20</f>
        <v>0</v>
      </c>
      <c r="M36" s="718">
        <f ca="1">tertiair!L20</f>
        <v>0</v>
      </c>
      <c r="N36" s="718">
        <f>tertiair!M20</f>
        <v>0</v>
      </c>
      <c r="O36" s="718">
        <f ca="1">tertiair!N20</f>
        <v>0</v>
      </c>
      <c r="P36" s="718">
        <f>tertiair!O20</f>
        <v>0</v>
      </c>
      <c r="Q36" s="828">
        <f>tertiair!P20</f>
        <v>0</v>
      </c>
      <c r="R36" s="917">
        <f ca="1">SUM(C36:Q36)</f>
        <v>36706.065643922542</v>
      </c>
    </row>
    <row r="37" spans="1:18">
      <c r="A37" s="885" t="s">
        <v>225</v>
      </c>
      <c r="B37" s="892"/>
      <c r="C37" s="718">
        <f ca="1">huishoudens!B12</f>
        <v>10546.583964870086</v>
      </c>
      <c r="D37" s="718">
        <f ca="1">huishoudens!C12</f>
        <v>0</v>
      </c>
      <c r="E37" s="718">
        <f>huishoudens!D12</f>
        <v>31412.681757466475</v>
      </c>
      <c r="F37" s="718">
        <f>huishoudens!E12</f>
        <v>3287.3041332080629</v>
      </c>
      <c r="G37" s="718">
        <f>huishoudens!F12</f>
        <v>9704.6902367234761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54951.260092268101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16555.42602376291</v>
      </c>
      <c r="D39" s="718">
        <f ca="1">industrie!C22</f>
        <v>0</v>
      </c>
      <c r="E39" s="718">
        <f>industrie!D22</f>
        <v>25892.956816022659</v>
      </c>
      <c r="F39" s="718">
        <f>industrie!E22</f>
        <v>821.60770108760005</v>
      </c>
      <c r="G39" s="718">
        <f>industrie!F22</f>
        <v>3182.8135509718422</v>
      </c>
      <c r="H39" s="718">
        <f>industrie!G22</f>
        <v>0</v>
      </c>
      <c r="I39" s="718">
        <f>industrie!H22</f>
        <v>0</v>
      </c>
      <c r="J39" s="718">
        <f>industrie!I22</f>
        <v>0</v>
      </c>
      <c r="K39" s="718">
        <f>industrie!J22</f>
        <v>27.948568122816859</v>
      </c>
      <c r="L39" s="718">
        <f>industrie!K22</f>
        <v>0</v>
      </c>
      <c r="M39" s="718">
        <f>industrie!L22</f>
        <v>0</v>
      </c>
      <c r="N39" s="718">
        <f>industrie!M22</f>
        <v>0</v>
      </c>
      <c r="O39" s="718">
        <f>industrie!N22</f>
        <v>0</v>
      </c>
      <c r="P39" s="718">
        <f>industrie!O22</f>
        <v>0</v>
      </c>
      <c r="Q39" s="828">
        <f>industrie!P22</f>
        <v>0</v>
      </c>
      <c r="R39" s="918">
        <f ca="1">SUM(C39:Q39)</f>
        <v>46480.752659967831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41756.467412864833</v>
      </c>
      <c r="D41" s="763">
        <f t="shared" ref="D41:R41" ca="1" si="4">SUM(D35:D40)</f>
        <v>108.81806894437844</v>
      </c>
      <c r="E41" s="763">
        <f t="shared" ca="1" si="4"/>
        <v>74909.020240760612</v>
      </c>
      <c r="F41" s="763">
        <f t="shared" si="4"/>
        <v>4314.5208430772927</v>
      </c>
      <c r="G41" s="763">
        <f t="shared" ca="1" si="4"/>
        <v>17021.178450564363</v>
      </c>
      <c r="H41" s="763">
        <f t="shared" si="4"/>
        <v>0</v>
      </c>
      <c r="I41" s="763">
        <f t="shared" si="4"/>
        <v>0</v>
      </c>
      <c r="J41" s="763">
        <f t="shared" si="4"/>
        <v>0</v>
      </c>
      <c r="K41" s="763">
        <f t="shared" si="4"/>
        <v>28.07337994699256</v>
      </c>
      <c r="L41" s="763">
        <f t="shared" si="4"/>
        <v>0</v>
      </c>
      <c r="M41" s="763">
        <f t="shared" ca="1" si="4"/>
        <v>0</v>
      </c>
      <c r="N41" s="763">
        <f t="shared" si="4"/>
        <v>0</v>
      </c>
      <c r="O41" s="763">
        <f t="shared" ca="1" si="4"/>
        <v>0</v>
      </c>
      <c r="P41" s="763">
        <f t="shared" si="4"/>
        <v>0</v>
      </c>
      <c r="Q41" s="764">
        <f t="shared" si="4"/>
        <v>0</v>
      </c>
      <c r="R41" s="765">
        <f t="shared" ca="1" si="4"/>
        <v>138138.07839615847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923.25163253655944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923.25163253655944</v>
      </c>
    </row>
    <row r="45" spans="1:18" ht="15" thickBot="1">
      <c r="A45" s="888" t="s">
        <v>307</v>
      </c>
      <c r="B45" s="898"/>
      <c r="C45" s="727">
        <f ca="1">transport!B18</f>
        <v>26.10158619166301</v>
      </c>
      <c r="D45" s="727">
        <f>transport!C18</f>
        <v>0</v>
      </c>
      <c r="E45" s="727">
        <f>transport!D18</f>
        <v>108.97980028708953</v>
      </c>
      <c r="F45" s="727">
        <f>transport!E18</f>
        <v>172.23124000326666</v>
      </c>
      <c r="G45" s="727">
        <f>transport!F18</f>
        <v>0</v>
      </c>
      <c r="H45" s="727">
        <f>transport!G18</f>
        <v>81015.67479372448</v>
      </c>
      <c r="I45" s="727">
        <f>transport!H18</f>
        <v>15307.930714352766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96630.918134559266</v>
      </c>
    </row>
    <row r="46" spans="1:18" ht="15.75" thickBot="1">
      <c r="A46" s="886" t="s">
        <v>230</v>
      </c>
      <c r="B46" s="899"/>
      <c r="C46" s="763">
        <f t="shared" ref="C46:R46" ca="1" si="5">SUM(C43:C45)</f>
        <v>26.10158619166301</v>
      </c>
      <c r="D46" s="763">
        <f t="shared" ca="1" si="5"/>
        <v>0</v>
      </c>
      <c r="E46" s="763">
        <f t="shared" si="5"/>
        <v>108.97980028708953</v>
      </c>
      <c r="F46" s="763">
        <f t="shared" si="5"/>
        <v>172.23124000326666</v>
      </c>
      <c r="G46" s="763">
        <f t="shared" si="5"/>
        <v>0</v>
      </c>
      <c r="H46" s="763">
        <f t="shared" si="5"/>
        <v>81938.926426261038</v>
      </c>
      <c r="I46" s="763">
        <f t="shared" si="5"/>
        <v>15307.930714352766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97554.169767095824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655.69710208010224</v>
      </c>
      <c r="D48" s="718">
        <f ca="1">+landbouw!C12</f>
        <v>808.79545672347717</v>
      </c>
      <c r="E48" s="718">
        <f>+landbouw!D12</f>
        <v>1502.810644695367</v>
      </c>
      <c r="F48" s="718">
        <f>+landbouw!E12</f>
        <v>26.92436860237304</v>
      </c>
      <c r="G48" s="718">
        <f>+landbouw!F12</f>
        <v>4488.4857044787232</v>
      </c>
      <c r="H48" s="718">
        <f>+landbouw!G12</f>
        <v>0</v>
      </c>
      <c r="I48" s="718">
        <f>+landbouw!H12</f>
        <v>0</v>
      </c>
      <c r="J48" s="718">
        <f>+landbouw!I12</f>
        <v>0</v>
      </c>
      <c r="K48" s="718">
        <f>+landbouw!J12</f>
        <v>206.95800519891083</v>
      </c>
      <c r="L48" s="718">
        <f>+landbouw!K12</f>
        <v>0</v>
      </c>
      <c r="M48" s="718">
        <f>+landbouw!L12</f>
        <v>0</v>
      </c>
      <c r="N48" s="718">
        <f>+landbouw!M12</f>
        <v>0</v>
      </c>
      <c r="O48" s="718">
        <f>+landbouw!N12</f>
        <v>0</v>
      </c>
      <c r="P48" s="718">
        <f>+landbouw!O12</f>
        <v>0</v>
      </c>
      <c r="Q48" s="719">
        <f>+landbouw!P12</f>
        <v>0</v>
      </c>
      <c r="R48" s="761">
        <f ca="1">SUM(C48:Q48)</f>
        <v>7689.671281778953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42438.266101136593</v>
      </c>
      <c r="D53" s="773">
        <f t="shared" ref="D53:Q53" ca="1" si="6">D41+D46+D48</f>
        <v>917.61352566785558</v>
      </c>
      <c r="E53" s="773">
        <f t="shared" ca="1" si="6"/>
        <v>76520.810685743068</v>
      </c>
      <c r="F53" s="773">
        <f t="shared" si="6"/>
        <v>4513.6764516829326</v>
      </c>
      <c r="G53" s="773">
        <f t="shared" ca="1" si="6"/>
        <v>21509.664155043087</v>
      </c>
      <c r="H53" s="773">
        <f t="shared" si="6"/>
        <v>81938.926426261038</v>
      </c>
      <c r="I53" s="773">
        <f t="shared" si="6"/>
        <v>15307.930714352766</v>
      </c>
      <c r="J53" s="773">
        <f t="shared" si="6"/>
        <v>0</v>
      </c>
      <c r="K53" s="773">
        <f t="shared" si="6"/>
        <v>235.03138514590339</v>
      </c>
      <c r="L53" s="773">
        <f t="shared" si="6"/>
        <v>0</v>
      </c>
      <c r="M53" s="773">
        <f t="shared" ca="1" si="6"/>
        <v>0</v>
      </c>
      <c r="N53" s="773">
        <f t="shared" si="6"/>
        <v>0</v>
      </c>
      <c r="O53" s="773">
        <f t="shared" ca="1" si="6"/>
        <v>0</v>
      </c>
      <c r="P53" s="773">
        <f>P41+P46+P48</f>
        <v>0</v>
      </c>
      <c r="Q53" s="774">
        <f t="shared" si="6"/>
        <v>0</v>
      </c>
      <c r="R53" s="775">
        <f ca="1">R41+R46+R48</f>
        <v>243381.91944503324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0.16249062593762562</v>
      </c>
      <c r="D55" s="836">
        <f t="shared" ca="1" si="7"/>
        <v>2.8177519955527388E-2</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26179.773907833565</v>
      </c>
      <c r="C64" s="795">
        <f>'lokale energieproductie'!B4</f>
        <v>26179.773907833565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23076.173347218071</v>
      </c>
      <c r="C66" s="795">
        <f>'lokale energieproductie'!B6</f>
        <v>23076.173347218071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22795.791666666668</v>
      </c>
      <c r="C67" s="794">
        <f>B67*IFERROR(SUM(J67:L67)/SUM(D67:M67),0)</f>
        <v>20092.871232472775</v>
      </c>
      <c r="D67" s="826">
        <f>'lokale energieproductie'!C7</f>
        <v>3179.8459138096277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23638.222448947676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642.32887458954485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72051.738921718308</v>
      </c>
      <c r="C69" s="803">
        <f>SUM(C64:C68)</f>
        <v>69348.818487524404</v>
      </c>
      <c r="D69" s="804">
        <f t="shared" ref="D69:M69" si="8">SUM(D67:D68)</f>
        <v>3179.8459138096277</v>
      </c>
      <c r="E69" s="804">
        <f t="shared" si="8"/>
        <v>0</v>
      </c>
      <c r="F69" s="804">
        <f t="shared" si="8"/>
        <v>0</v>
      </c>
      <c r="G69" s="804">
        <f t="shared" si="8"/>
        <v>0</v>
      </c>
      <c r="H69" s="804">
        <f t="shared" si="8"/>
        <v>0</v>
      </c>
      <c r="I69" s="804">
        <f t="shared" si="8"/>
        <v>0</v>
      </c>
      <c r="J69" s="804">
        <f t="shared" si="8"/>
        <v>0</v>
      </c>
      <c r="K69" s="804">
        <f t="shared" si="8"/>
        <v>23638.222448947676</v>
      </c>
      <c r="L69" s="804">
        <f t="shared" si="8"/>
        <v>0</v>
      </c>
      <c r="M69" s="930">
        <f t="shared" si="8"/>
        <v>0</v>
      </c>
      <c r="N69" s="805">
        <v>0</v>
      </c>
      <c r="O69" s="805">
        <f>SUM(O67:O68)</f>
        <v>642.32887458954485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32565.446750321749</v>
      </c>
      <c r="C78" s="817">
        <f>B78*IFERROR(SUM(I78:L78)/SUM(D78:M78),0)</f>
        <v>28704.128277280583</v>
      </c>
      <c r="D78" s="832">
        <f>'lokale energieproductie'!C16</f>
        <v>4542.6412161775024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33768.920408195183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917.61352566785558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32565.446750321749</v>
      </c>
      <c r="C81" s="803">
        <f>SUM(C78:C80)</f>
        <v>28704.128277280583</v>
      </c>
      <c r="D81" s="803">
        <f t="shared" ref="D81:P81" si="9">SUM(D78:D80)</f>
        <v>4542.6412161775024</v>
      </c>
      <c r="E81" s="803">
        <f t="shared" si="9"/>
        <v>0</v>
      </c>
      <c r="F81" s="803">
        <f t="shared" si="9"/>
        <v>0</v>
      </c>
      <c r="G81" s="803">
        <f t="shared" si="9"/>
        <v>0</v>
      </c>
      <c r="H81" s="803">
        <f t="shared" si="9"/>
        <v>0</v>
      </c>
      <c r="I81" s="803">
        <f t="shared" si="9"/>
        <v>0</v>
      </c>
      <c r="J81" s="803">
        <f t="shared" si="9"/>
        <v>0</v>
      </c>
      <c r="K81" s="803">
        <f t="shared" si="9"/>
        <v>33768.920408195183</v>
      </c>
      <c r="L81" s="803">
        <f t="shared" si="9"/>
        <v>0</v>
      </c>
      <c r="M81" s="803">
        <f t="shared" si="9"/>
        <v>0</v>
      </c>
      <c r="N81" s="803">
        <v>0</v>
      </c>
      <c r="O81" s="803">
        <f>SUM(O78:O80)</f>
        <v>917.61352566785558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64905.799359272241</v>
      </c>
      <c r="C4" s="478">
        <f>huishoudens!C8</f>
        <v>0</v>
      </c>
      <c r="D4" s="478">
        <f>huishoudens!D8</f>
        <v>155508.32553201224</v>
      </c>
      <c r="E4" s="478">
        <f>huishoudens!E8</f>
        <v>14481.516005321862</v>
      </c>
      <c r="F4" s="478">
        <f>huishoudens!F8</f>
        <v>36347.154444657215</v>
      </c>
      <c r="G4" s="478">
        <f>huishoudens!G8</f>
        <v>0</v>
      </c>
      <c r="H4" s="478">
        <f>huishoudens!H8</f>
        <v>0</v>
      </c>
      <c r="I4" s="478">
        <f>huishoudens!I8</f>
        <v>0</v>
      </c>
      <c r="J4" s="478">
        <f>huishoudens!J8</f>
        <v>0</v>
      </c>
      <c r="K4" s="478">
        <f>huishoudens!K8</f>
        <v>0</v>
      </c>
      <c r="L4" s="478">
        <f>huishoudens!L8</f>
        <v>0</v>
      </c>
      <c r="M4" s="478">
        <f>huishoudens!M8</f>
        <v>0</v>
      </c>
      <c r="N4" s="478">
        <f>huishoudens!N8</f>
        <v>55774.769622915934</v>
      </c>
      <c r="O4" s="478">
        <f>huishoudens!O8</f>
        <v>884.84666666666681</v>
      </c>
      <c r="P4" s="479">
        <f>huishoudens!P8</f>
        <v>4099.333333333333</v>
      </c>
      <c r="Q4" s="480">
        <f>SUM(B4:P4)</f>
        <v>332001.74496417952</v>
      </c>
    </row>
    <row r="5" spans="1:17">
      <c r="A5" s="477" t="s">
        <v>156</v>
      </c>
      <c r="B5" s="478">
        <f ca="1">tertiair!B16</f>
        <v>88662.964002531269</v>
      </c>
      <c r="C5" s="478">
        <f ca="1">tertiair!C16</f>
        <v>3861.8753217503217</v>
      </c>
      <c r="D5" s="478">
        <f ca="1">tertiair!D16</f>
        <v>87145.453798373608</v>
      </c>
      <c r="E5" s="478">
        <f>tertiair!E16</f>
        <v>905.76655850938164</v>
      </c>
      <c r="F5" s="478">
        <f ca="1">tertiair!F16</f>
        <v>15481.927576288557</v>
      </c>
      <c r="G5" s="478">
        <f>tertiair!G16</f>
        <v>0</v>
      </c>
      <c r="H5" s="478">
        <f>tertiair!H16</f>
        <v>0</v>
      </c>
      <c r="I5" s="478">
        <f>tertiair!I16</f>
        <v>0</v>
      </c>
      <c r="J5" s="478">
        <f>tertiair!J16</f>
        <v>0.35257577450763095</v>
      </c>
      <c r="K5" s="478">
        <f>tertiair!K16</f>
        <v>0</v>
      </c>
      <c r="L5" s="478">
        <f ca="1">tertiair!L16</f>
        <v>0</v>
      </c>
      <c r="M5" s="478">
        <f>tertiair!M16</f>
        <v>0</v>
      </c>
      <c r="N5" s="478">
        <f ca="1">tertiair!N16</f>
        <v>14030.608952783803</v>
      </c>
      <c r="O5" s="478">
        <f>tertiair!O16</f>
        <v>7.8166666666666664</v>
      </c>
      <c r="P5" s="479">
        <f>tertiair!P16</f>
        <v>114.4</v>
      </c>
      <c r="Q5" s="477">
        <f t="shared" ref="Q5:Q13" ca="1" si="0">SUM(B5:P5)</f>
        <v>210211.16545267811</v>
      </c>
    </row>
    <row r="6" spans="1:17">
      <c r="A6" s="477" t="s">
        <v>194</v>
      </c>
      <c r="B6" s="478">
        <f>'openbare verlichting'!B8</f>
        <v>1523.5150000000001</v>
      </c>
      <c r="C6" s="478"/>
      <c r="D6" s="478"/>
      <c r="E6" s="478"/>
      <c r="F6" s="478"/>
      <c r="G6" s="478"/>
      <c r="H6" s="478"/>
      <c r="I6" s="478"/>
      <c r="J6" s="478"/>
      <c r="K6" s="478"/>
      <c r="L6" s="478"/>
      <c r="M6" s="478"/>
      <c r="N6" s="478"/>
      <c r="O6" s="478"/>
      <c r="P6" s="479"/>
      <c r="Q6" s="477">
        <f t="shared" si="0"/>
        <v>1523.5150000000001</v>
      </c>
    </row>
    <row r="7" spans="1:17">
      <c r="A7" s="477" t="s">
        <v>112</v>
      </c>
      <c r="B7" s="478">
        <f>landbouw!B8</f>
        <v>4035.2918717403495</v>
      </c>
      <c r="C7" s="478">
        <f>landbouw!C8</f>
        <v>28703.571428571428</v>
      </c>
      <c r="D7" s="478">
        <f>landbouw!D8</f>
        <v>7439.6566569077577</v>
      </c>
      <c r="E7" s="478">
        <f>landbouw!E8</f>
        <v>118.60955331441868</v>
      </c>
      <c r="F7" s="478">
        <f>landbouw!F8</f>
        <v>16810.807881942783</v>
      </c>
      <c r="G7" s="478">
        <f>landbouw!G8</f>
        <v>0</v>
      </c>
      <c r="H7" s="478">
        <f>landbouw!H8</f>
        <v>0</v>
      </c>
      <c r="I7" s="478">
        <f>landbouw!I8</f>
        <v>0</v>
      </c>
      <c r="J7" s="478">
        <f>landbouw!J8</f>
        <v>584.62713333025658</v>
      </c>
      <c r="K7" s="478">
        <f>landbouw!K8</f>
        <v>0</v>
      </c>
      <c r="L7" s="478">
        <f>landbouw!L8</f>
        <v>0</v>
      </c>
      <c r="M7" s="478">
        <f>landbouw!M8</f>
        <v>0</v>
      </c>
      <c r="N7" s="478">
        <f>landbouw!N8</f>
        <v>0</v>
      </c>
      <c r="O7" s="478">
        <f>landbouw!O8</f>
        <v>0</v>
      </c>
      <c r="P7" s="479">
        <f>landbouw!P8</f>
        <v>0</v>
      </c>
      <c r="Q7" s="477">
        <f t="shared" si="0"/>
        <v>57692.564525806993</v>
      </c>
    </row>
    <row r="8" spans="1:17">
      <c r="A8" s="477" t="s">
        <v>635</v>
      </c>
      <c r="B8" s="478">
        <f>industrie!B18</f>
        <v>101885.42217886433</v>
      </c>
      <c r="C8" s="478">
        <f>industrie!C18</f>
        <v>0</v>
      </c>
      <c r="D8" s="478">
        <f>industrie!D18</f>
        <v>128182.95453476562</v>
      </c>
      <c r="E8" s="478">
        <f>industrie!E18</f>
        <v>3619.4171854079295</v>
      </c>
      <c r="F8" s="478">
        <f>industrie!F18</f>
        <v>11920.650003639857</v>
      </c>
      <c r="G8" s="478">
        <f>industrie!G18</f>
        <v>0</v>
      </c>
      <c r="H8" s="478">
        <f>industrie!H18</f>
        <v>0</v>
      </c>
      <c r="I8" s="478">
        <f>industrie!I18</f>
        <v>0</v>
      </c>
      <c r="J8" s="478">
        <f>industrie!J18</f>
        <v>78.950757409087174</v>
      </c>
      <c r="K8" s="478">
        <f>industrie!K18</f>
        <v>0</v>
      </c>
      <c r="L8" s="478">
        <f>industrie!L18</f>
        <v>0</v>
      </c>
      <c r="M8" s="478">
        <f>industrie!M18</f>
        <v>0</v>
      </c>
      <c r="N8" s="478">
        <f>industrie!N18</f>
        <v>9952.7888444462951</v>
      </c>
      <c r="O8" s="478">
        <f>industrie!O18</f>
        <v>0</v>
      </c>
      <c r="P8" s="479">
        <f>industrie!P18</f>
        <v>0</v>
      </c>
      <c r="Q8" s="477">
        <f t="shared" si="0"/>
        <v>255640.18350453314</v>
      </c>
    </row>
    <row r="9" spans="1:17" s="483" customFormat="1">
      <c r="A9" s="481" t="s">
        <v>561</v>
      </c>
      <c r="B9" s="482">
        <f>transport!B14</f>
        <v>160.63441223792492</v>
      </c>
      <c r="C9" s="482"/>
      <c r="D9" s="482">
        <f>transport!D14</f>
        <v>539.5039618172749</v>
      </c>
      <c r="E9" s="482">
        <f>transport!E14</f>
        <v>758.7279295298091</v>
      </c>
      <c r="F9" s="482"/>
      <c r="G9" s="482">
        <f>transport!G14</f>
        <v>303429.49360945495</v>
      </c>
      <c r="H9" s="482">
        <f>transport!H14</f>
        <v>61477.633390974966</v>
      </c>
      <c r="I9" s="482"/>
      <c r="J9" s="482"/>
      <c r="K9" s="482"/>
      <c r="L9" s="482"/>
      <c r="M9" s="482">
        <f>transport!M14</f>
        <v>19552.722032250484</v>
      </c>
      <c r="N9" s="482"/>
      <c r="O9" s="482"/>
      <c r="P9" s="482"/>
      <c r="Q9" s="481">
        <f>SUM(B9:P9)</f>
        <v>385918.71533626539</v>
      </c>
    </row>
    <row r="10" spans="1:17">
      <c r="A10" s="477" t="s">
        <v>551</v>
      </c>
      <c r="B10" s="478">
        <f>transport!B54</f>
        <v>0</v>
      </c>
      <c r="C10" s="478"/>
      <c r="D10" s="478">
        <f>transport!D54</f>
        <v>0</v>
      </c>
      <c r="E10" s="478"/>
      <c r="F10" s="478"/>
      <c r="G10" s="478">
        <f>transport!G54</f>
        <v>3457.871282908462</v>
      </c>
      <c r="H10" s="478"/>
      <c r="I10" s="478"/>
      <c r="J10" s="478"/>
      <c r="K10" s="478"/>
      <c r="L10" s="478"/>
      <c r="M10" s="478">
        <f>transport!M54</f>
        <v>196.39182383229422</v>
      </c>
      <c r="N10" s="478"/>
      <c r="O10" s="478"/>
      <c r="P10" s="479"/>
      <c r="Q10" s="477">
        <f t="shared" si="0"/>
        <v>3654.2631067407565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261173.62682464614</v>
      </c>
      <c r="C14" s="488">
        <f t="shared" ref="C14:Q14" ca="1" si="1">SUM(C4:C13)</f>
        <v>32565.446750321749</v>
      </c>
      <c r="D14" s="488">
        <f t="shared" ca="1" si="1"/>
        <v>378815.89448387653</v>
      </c>
      <c r="E14" s="488">
        <f t="shared" si="1"/>
        <v>19884.037232083403</v>
      </c>
      <c r="F14" s="488">
        <f t="shared" ca="1" si="1"/>
        <v>80560.539906528429</v>
      </c>
      <c r="G14" s="488">
        <f t="shared" si="1"/>
        <v>306887.36489236343</v>
      </c>
      <c r="H14" s="488">
        <f t="shared" si="1"/>
        <v>61477.633390974966</v>
      </c>
      <c r="I14" s="488">
        <f t="shared" si="1"/>
        <v>0</v>
      </c>
      <c r="J14" s="488">
        <f t="shared" si="1"/>
        <v>663.93046651385134</v>
      </c>
      <c r="K14" s="488">
        <f t="shared" si="1"/>
        <v>0</v>
      </c>
      <c r="L14" s="488">
        <f t="shared" ca="1" si="1"/>
        <v>0</v>
      </c>
      <c r="M14" s="488">
        <f t="shared" si="1"/>
        <v>19749.113856082779</v>
      </c>
      <c r="N14" s="488">
        <f t="shared" ca="1" si="1"/>
        <v>79758.167420146026</v>
      </c>
      <c r="O14" s="488">
        <f t="shared" si="1"/>
        <v>892.66333333333353</v>
      </c>
      <c r="P14" s="489">
        <f t="shared" si="1"/>
        <v>4213.7333333333327</v>
      </c>
      <c r="Q14" s="489">
        <f t="shared" ca="1" si="1"/>
        <v>1246642.1518902041</v>
      </c>
    </row>
    <row r="16" spans="1:17">
      <c r="A16" s="491" t="s">
        <v>556</v>
      </c>
      <c r="B16" s="841">
        <f ca="1">huishoudens!B10</f>
        <v>0.16249062593762562</v>
      </c>
      <c r="C16" s="841">
        <f ca="1">huishoudens!C10</f>
        <v>2.8177519955527388E-2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10546.583964870086</v>
      </c>
      <c r="C21" s="478">
        <f t="shared" ref="C21:C28" ca="1" si="3">C4*$C$16</f>
        <v>0</v>
      </c>
      <c r="D21" s="478">
        <f t="shared" ref="D21:D30" si="4">D4*$D$16</f>
        <v>31412.681757466475</v>
      </c>
      <c r="E21" s="478">
        <f t="shared" ref="E21:E30" si="5">E4*$E$16</f>
        <v>3287.3041332080629</v>
      </c>
      <c r="F21" s="478">
        <f t="shared" ref="F21:F28" si="6">F4*$F$16</f>
        <v>9704.6902367234761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54951.260092268101</v>
      </c>
    </row>
    <row r="22" spans="1:17">
      <c r="A22" s="477" t="s">
        <v>156</v>
      </c>
      <c r="B22" s="478">
        <f t="shared" ca="1" si="2"/>
        <v>14406.900518256474</v>
      </c>
      <c r="C22" s="478">
        <f t="shared" ca="1" si="3"/>
        <v>108.81806894437844</v>
      </c>
      <c r="D22" s="478">
        <f t="shared" ca="1" si="4"/>
        <v>17603.381667271471</v>
      </c>
      <c r="E22" s="478">
        <f t="shared" si="5"/>
        <v>205.60900878162963</v>
      </c>
      <c r="F22" s="478">
        <f t="shared" ca="1" si="6"/>
        <v>4133.6746628690453</v>
      </c>
      <c r="G22" s="478">
        <f t="shared" si="7"/>
        <v>0</v>
      </c>
      <c r="H22" s="478">
        <f t="shared" si="8"/>
        <v>0</v>
      </c>
      <c r="I22" s="478">
        <f t="shared" si="9"/>
        <v>0</v>
      </c>
      <c r="J22" s="478">
        <f t="shared" si="10"/>
        <v>0.12481182417570134</v>
      </c>
      <c r="K22" s="478">
        <f t="shared" si="11"/>
        <v>0</v>
      </c>
      <c r="L22" s="478">
        <f t="shared" ca="1" si="12"/>
        <v>0</v>
      </c>
      <c r="M22" s="478">
        <f t="shared" si="13"/>
        <v>0</v>
      </c>
      <c r="N22" s="478">
        <f t="shared" ca="1" si="14"/>
        <v>0</v>
      </c>
      <c r="O22" s="478">
        <f t="shared" si="15"/>
        <v>0</v>
      </c>
      <c r="P22" s="479">
        <f t="shared" si="16"/>
        <v>0</v>
      </c>
      <c r="Q22" s="477">
        <f t="shared" ref="Q22:Q30" ca="1" si="17">SUM(B22:P22)</f>
        <v>36458.508737947181</v>
      </c>
    </row>
    <row r="23" spans="1:17">
      <c r="A23" s="477" t="s">
        <v>194</v>
      </c>
      <c r="B23" s="478">
        <f t="shared" ca="1" si="2"/>
        <v>247.5569059753617</v>
      </c>
      <c r="C23" s="478"/>
      <c r="D23" s="478"/>
      <c r="E23" s="478"/>
      <c r="F23" s="478"/>
      <c r="G23" s="478"/>
      <c r="H23" s="478"/>
      <c r="I23" s="478"/>
      <c r="J23" s="478"/>
      <c r="K23" s="478"/>
      <c r="L23" s="478"/>
      <c r="M23" s="478"/>
      <c r="N23" s="478"/>
      <c r="O23" s="478"/>
      <c r="P23" s="479"/>
      <c r="Q23" s="477">
        <f t="shared" ca="1" si="17"/>
        <v>247.5569059753617</v>
      </c>
    </row>
    <row r="24" spans="1:17">
      <c r="A24" s="477" t="s">
        <v>112</v>
      </c>
      <c r="B24" s="478">
        <f t="shared" ca="1" si="2"/>
        <v>655.69710208010224</v>
      </c>
      <c r="C24" s="478">
        <f t="shared" ca="1" si="3"/>
        <v>808.79545672347717</v>
      </c>
      <c r="D24" s="478">
        <f t="shared" si="4"/>
        <v>1502.810644695367</v>
      </c>
      <c r="E24" s="478">
        <f t="shared" si="5"/>
        <v>26.92436860237304</v>
      </c>
      <c r="F24" s="478">
        <f t="shared" si="6"/>
        <v>4488.4857044787232</v>
      </c>
      <c r="G24" s="478">
        <f t="shared" si="7"/>
        <v>0</v>
      </c>
      <c r="H24" s="478">
        <f t="shared" si="8"/>
        <v>0</v>
      </c>
      <c r="I24" s="478">
        <f t="shared" si="9"/>
        <v>0</v>
      </c>
      <c r="J24" s="478">
        <f t="shared" si="10"/>
        <v>206.95800519891083</v>
      </c>
      <c r="K24" s="478">
        <f t="shared" si="11"/>
        <v>0</v>
      </c>
      <c r="L24" s="478">
        <f t="shared" si="12"/>
        <v>0</v>
      </c>
      <c r="M24" s="478">
        <f t="shared" si="13"/>
        <v>0</v>
      </c>
      <c r="N24" s="478">
        <f t="shared" si="14"/>
        <v>0</v>
      </c>
      <c r="O24" s="478">
        <f t="shared" si="15"/>
        <v>0</v>
      </c>
      <c r="P24" s="479">
        <f t="shared" si="16"/>
        <v>0</v>
      </c>
      <c r="Q24" s="477">
        <f t="shared" ca="1" si="17"/>
        <v>7689.671281778953</v>
      </c>
    </row>
    <row r="25" spans="1:17">
      <c r="A25" s="477" t="s">
        <v>635</v>
      </c>
      <c r="B25" s="478">
        <f t="shared" ca="1" si="2"/>
        <v>16555.42602376291</v>
      </c>
      <c r="C25" s="478">
        <f t="shared" ca="1" si="3"/>
        <v>0</v>
      </c>
      <c r="D25" s="478">
        <f t="shared" si="4"/>
        <v>25892.956816022659</v>
      </c>
      <c r="E25" s="478">
        <f t="shared" si="5"/>
        <v>821.60770108760005</v>
      </c>
      <c r="F25" s="478">
        <f t="shared" si="6"/>
        <v>3182.8135509718422</v>
      </c>
      <c r="G25" s="478">
        <f t="shared" si="7"/>
        <v>0</v>
      </c>
      <c r="H25" s="478">
        <f t="shared" si="8"/>
        <v>0</v>
      </c>
      <c r="I25" s="478">
        <f t="shared" si="9"/>
        <v>0</v>
      </c>
      <c r="J25" s="478">
        <f t="shared" si="10"/>
        <v>27.948568122816859</v>
      </c>
      <c r="K25" s="478">
        <f t="shared" si="11"/>
        <v>0</v>
      </c>
      <c r="L25" s="478">
        <f t="shared" si="12"/>
        <v>0</v>
      </c>
      <c r="M25" s="478">
        <f t="shared" si="13"/>
        <v>0</v>
      </c>
      <c r="N25" s="478">
        <f t="shared" si="14"/>
        <v>0</v>
      </c>
      <c r="O25" s="478">
        <f t="shared" si="15"/>
        <v>0</v>
      </c>
      <c r="P25" s="479">
        <f t="shared" si="16"/>
        <v>0</v>
      </c>
      <c r="Q25" s="477">
        <f t="shared" ca="1" si="17"/>
        <v>46480.752659967831</v>
      </c>
    </row>
    <row r="26" spans="1:17" s="483" customFormat="1">
      <c r="A26" s="481" t="s">
        <v>561</v>
      </c>
      <c r="B26" s="835">
        <f t="shared" ca="1" si="2"/>
        <v>26.10158619166301</v>
      </c>
      <c r="C26" s="482"/>
      <c r="D26" s="482">
        <f t="shared" si="4"/>
        <v>108.97980028708953</v>
      </c>
      <c r="E26" s="482">
        <f t="shared" si="5"/>
        <v>172.23124000326666</v>
      </c>
      <c r="F26" s="482"/>
      <c r="G26" s="482">
        <f t="shared" si="7"/>
        <v>81015.67479372448</v>
      </c>
      <c r="H26" s="482">
        <f t="shared" si="8"/>
        <v>15307.930714352766</v>
      </c>
      <c r="I26" s="482"/>
      <c r="J26" s="482"/>
      <c r="K26" s="482"/>
      <c r="L26" s="482"/>
      <c r="M26" s="482">
        <f t="shared" si="13"/>
        <v>0</v>
      </c>
      <c r="N26" s="482"/>
      <c r="O26" s="482"/>
      <c r="P26" s="493"/>
      <c r="Q26" s="481">
        <f t="shared" ca="1" si="17"/>
        <v>96630.918134559266</v>
      </c>
    </row>
    <row r="27" spans="1:17">
      <c r="A27" s="477" t="s">
        <v>551</v>
      </c>
      <c r="B27" s="478">
        <f t="shared" ca="1" si="2"/>
        <v>0</v>
      </c>
      <c r="C27" s="478"/>
      <c r="D27" s="482">
        <f t="shared" si="4"/>
        <v>0</v>
      </c>
      <c r="E27" s="478"/>
      <c r="F27" s="478"/>
      <c r="G27" s="478">
        <f t="shared" si="7"/>
        <v>923.25163253655944</v>
      </c>
      <c r="H27" s="478"/>
      <c r="I27" s="478"/>
      <c r="J27" s="478"/>
      <c r="K27" s="478"/>
      <c r="L27" s="478"/>
      <c r="M27" s="478">
        <f t="shared" si="13"/>
        <v>0</v>
      </c>
      <c r="N27" s="478"/>
      <c r="O27" s="478"/>
      <c r="P27" s="479"/>
      <c r="Q27" s="477">
        <f t="shared" ca="1" si="17"/>
        <v>923.25163253655944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42438.266101136593</v>
      </c>
      <c r="C31" s="488">
        <f t="shared" ca="1" si="18"/>
        <v>917.61352566785558</v>
      </c>
      <c r="D31" s="488">
        <f t="shared" ca="1" si="18"/>
        <v>76520.810685743068</v>
      </c>
      <c r="E31" s="488">
        <f t="shared" si="18"/>
        <v>4513.6764516829326</v>
      </c>
      <c r="F31" s="488">
        <f t="shared" ca="1" si="18"/>
        <v>21509.664155043087</v>
      </c>
      <c r="G31" s="488">
        <f t="shared" si="18"/>
        <v>81938.926426261038</v>
      </c>
      <c r="H31" s="488">
        <f t="shared" si="18"/>
        <v>15307.930714352766</v>
      </c>
      <c r="I31" s="488">
        <f t="shared" si="18"/>
        <v>0</v>
      </c>
      <c r="J31" s="488">
        <f t="shared" si="18"/>
        <v>235.03138514590339</v>
      </c>
      <c r="K31" s="488">
        <f t="shared" si="18"/>
        <v>0</v>
      </c>
      <c r="L31" s="488">
        <f t="shared" ca="1" si="18"/>
        <v>0</v>
      </c>
      <c r="M31" s="488">
        <f t="shared" si="18"/>
        <v>0</v>
      </c>
      <c r="N31" s="488">
        <f t="shared" ca="1" si="18"/>
        <v>0</v>
      </c>
      <c r="O31" s="488">
        <f t="shared" si="18"/>
        <v>0</v>
      </c>
      <c r="P31" s="489">
        <f t="shared" si="18"/>
        <v>0</v>
      </c>
      <c r="Q31" s="489">
        <f t="shared" ca="1" si="18"/>
        <v>243381.91944503324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0.16249062593762562</v>
      </c>
      <c r="C17" s="528">
        <f ca="1">'EF ele_warmte'!B22</f>
        <v>2.8177519955527388E-2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0.16249062593762562</v>
      </c>
      <c r="C17" s="528">
        <f ca="1">'EF ele_warmte'!B22</f>
        <v>2.8177519955527388E-2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0.16249062593762562</v>
      </c>
      <c r="C29" s="529">
        <f ca="1">'EF ele_warmte'!B22</f>
        <v>2.8177519955527388E-2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2019-01-01T21:17:34Z</dcterms:modified>
</cp:coreProperties>
</file>