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J15" i="16"/>
  <c r="F16"/>
  <c r="C13" i="15"/>
  <c r="C16" s="1"/>
  <c r="D10" i="14" s="1"/>
  <c r="L6" i="17"/>
  <c r="L5" s="1"/>
  <c r="O4" i="48"/>
  <c r="E16"/>
  <c r="I16"/>
  <c r="F16"/>
  <c r="J16"/>
  <c r="K16"/>
  <c r="K21" s="1"/>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5" i="48" l="1"/>
  <c r="K31" s="1"/>
  <c r="D28"/>
  <c r="D30"/>
  <c r="H25"/>
  <c r="K28"/>
  <c r="D21"/>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B22" i="6"/>
  <c r="C29" i="20"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6" i="22"/>
  <c r="C10" i="13"/>
  <c r="C17" i="49"/>
  <c r="Q5" i="48"/>
  <c r="Q4"/>
  <c r="N22"/>
  <c r="R11" i="14"/>
  <c r="J21" i="48"/>
  <c r="R10" i="14"/>
  <c r="C56" i="22" l="1"/>
  <c r="C58" s="1"/>
  <c r="D44" i="14" s="1"/>
  <c r="D46" s="1"/>
  <c r="C10" i="17"/>
  <c r="C12" s="1"/>
  <c r="D48" i="14" s="1"/>
  <c r="C18" i="15"/>
  <c r="C20" s="1"/>
  <c r="D36" i="14" s="1"/>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<sst xmlns="http://schemas.openxmlformats.org/spreadsheetml/2006/main" count="2117" uniqueCount="853">
  <si>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</si>
  <si>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</si>
  <si>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</si>
  <si>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</si>
  <si>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</si>
  <si>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</si>
  <si>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</si>
  <si>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</si>
  <si>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</si>
  <si>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</si>
  <si>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</si>
  <si>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</si>
  <si>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</si>
  <si>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</si>
  <si>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</si>
  <si>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</si>
  <si>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</si>
  <si>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</si>
  <si>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</si>
  <si>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</si>
  <si>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</si>
  <si>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</si>
  <si>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</si>
  <si>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</si>
  <si>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</si>
  <si>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</si>
  <si>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</si>
  <si>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</si>
  <si>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</si>
  <si>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</si>
  <si>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</si>
  <si>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</si>
  <si>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</si>
  <si>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</si>
  <si>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</si>
  <si>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</si>
  <si>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</si>
  <si>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</si>
  <si>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</si>
  <si>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</si>
  <si>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</si>
  <si>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</si>
  <si>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</si>
  <si>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</si>
  <si>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</si>
  <si>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</si>
  <si>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</si>
  <si>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</si>
  <si>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</si>
  <si>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</si>
  <si>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</si>
  <si>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</si>
  <si>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</si>
  <si>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</si>
  <si>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</si>
  <si>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</si>
  <si>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</si>
  <si>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</si>
  <si>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</si>
  <si>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</si>
  <si>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</si>
  <si>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</si>
  <si>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</si>
  <si>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</si>
  <si>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</si>
  <si>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</si>
  <si>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</si>
  <si>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</si>
  <si>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</si>
  <si>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</si>
  <si>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</si>
  <si>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</si>
  <si>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</si>
  <si>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</si>
  <si>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</si>
  <si>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</si>
  <si>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</si>
  <si>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</si>
  <si>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</si>
  <si>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</si>
  <si>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</si>
  <si>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</si>
  <si>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</si>
  <si>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</si>
  <si>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</si>
  <si>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</si>
  <si>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</si>
  <si>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</si>
  <si>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</si>
  <si>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</si>
  <si>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</si>
  <si>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</si>
  <si>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</si>
  <si>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</si>
  <si>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</si>
  <si>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</si>
  <si>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</si>
  <si>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</si>
  <si>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</si>
  <si>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</si>
  <si>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</si>
  <si>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</si>
  <si>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</si>
  <si>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</si>
  <si>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</si>
  <si>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</si>
  <si>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</si>
  <si>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</si>
  <si>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</si>
  <si>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</si>
  <si>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</si>
  <si>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</si>
  <si>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</si>
  <si>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</si>
  <si>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</si>
  <si>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</si>
  <si>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</si>
  <si>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</si>
  <si>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</si>
  <si>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</si>
  <si>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</si>
  <si>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</si>
  <si>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</si>
  <si>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</si>
  <si>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</si>
  <si>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</si>
  <si>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</si>
  <si>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</si>
  <si>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</si>
  <si>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</si>
  <si>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</si>
  <si>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</si>
  <si>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</si>
  <si>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</si>
  <si>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</si>
  <si>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</si>
  <si>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</si>
  <si>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</si>
  <si>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</si>
  <si>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</si>
  <si>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</si>
  <si>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</si>
  <si>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</si>
  <si>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</si>
  <si>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</si>
  <si>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</si>
  <si>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</si>
  <si>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</si>
  <si>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</si>
  <si>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</si>
  <si>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</si>
  <si>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</si>
  <si>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</si>
  <si>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</si>
  <si>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</si>
  <si>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</si>
  <si>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</si>
  <si>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</si>
  <si>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</si>
  <si>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</si>
  <si>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</si>
  <si>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</si>
  <si>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</si>
  <si>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</si>
  <si>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</si>
  <si>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</si>
  <si>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</si>
  <si>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</si>
  <si>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</si>
  <si>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</si>
  <si>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</si>
  <si>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</si>
  <si>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</si>
  <si>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</si>
  <si>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</si>
  <si>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</si>
  <si>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</si>
  <si>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</si>
  <si>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</si>
  <si>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</si>
  <si>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</si>
  <si>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</si>
  <si>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</si>
  <si>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</si>
  <si>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</si>
  <si>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</si>
  <si>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</si>
  <si>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</si>
  <si>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</si>
  <si>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</si>
  <si>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</si>
  <si>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</si>
  <si>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</si>
  <si>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</si>
  <si>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</si>
  <si>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</si>
  <si>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</si>
  <si>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</si>
  <si>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</si>
  <si>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</si>
  <si>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</si>
  <si>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</si>
  <si>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</si>
  <si>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</si>
  <si>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</si>
  <si>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</si>
  <si>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</si>
  <si>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</si>
  <si>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</si>
  <si>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</si>
  <si>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</si>
  <si>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</si>
  <si>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</si>
  <si>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</si>
  <si>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</si>
  <si>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</si>
  <si>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</si>
  <si>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</si>
  <si>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</si>
  <si>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</si>
  <si>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</si>
  <si>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</si>
  <si>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</si>
  <si>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</si>
  <si>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</si>
  <si>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</si>
  <si>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</si>
  <si>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</si>
  <si>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</si>
  <si>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</si>
  <si>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</si>
  <si>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</si>
  <si>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</si>
  <si>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</si>
  <si>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</si>
  <si>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</si>
  <si>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</si>
  <si>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</si>
  <si>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</si>
  <si>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</si>
  <si>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</si>
  <si>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</si>
  <si>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</si>
  <si>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</si>
  <si>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</si>
  <si>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</si>
  <si>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</si>
  <si>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</si>
  <si>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</si>
  <si>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</si>
  <si>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</si>
  <si>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</si>
  <si>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</si>
  <si>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</si>
  <si>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</si>
  <si>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</si>
  <si>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</si>
  <si>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</si>
  <si>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</si>
  <si>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</si>
  <si>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</si>
  <si>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</si>
  <si>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</si>
  <si>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</si>
  <si>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</si>
  <si>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</si>
  <si>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</si>
  <si>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</si>
  <si>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</si>
  <si>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</si>
  <si>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</si>
  <si>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</si>
  <si>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</si>
  <si>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</si>
  <si>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</si>
  <si>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</si>
  <si>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</si>
  <si>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</si>
  <si>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</si>
  <si>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</si>
  <si>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</si>
  <si>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</si>
  <si>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</si>
  <si>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</si>
  <si>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</si>
  <si>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</si>
  <si>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</si>
  <si>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</si>
  <si>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</si>
  <si>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</si>
  <si>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</si>
  <si>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</si>
  <si>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</si>
  <si>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</si>
  <si>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</si>
  <si>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</si>
  <si>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</si>
  <si>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</si>
  <si>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</si>
  <si>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</si>
  <si>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</si>
  <si>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</si>
  <si>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</si>
  <si>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</si>
  <si>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</si>
  <si>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</si>
  <si>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</si>
  <si>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</si>
  <si>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</si>
  <si>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</si>
  <si>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</si>
  <si>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</si>
  <si>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</si>
  <si>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</si>
  <si>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</si>
  <si>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</si>
  <si>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</si>
  <si>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</si>
  <si>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</si>
  <si>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</si>
  <si>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</si>
  <si>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</si>
  <si>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</si>
  <si>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</si>
  <si>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</si>
  <si>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</si>
  <si>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</si>
  <si>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</si>
  <si>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</si>
  <si>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</si>
  <si>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</si>
  <si>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</si>
  <si>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</si>
  <si>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</si>
  <si>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</si>
  <si>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</si>
  <si>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</si>
  <si>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</si>
  <si>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</si>
  <si>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</si>
  <si>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</si>
  <si>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</si>
  <si>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</si>
  <si>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</si>
  <si>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</si>
  <si>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</si>
  <si>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</si>
  <si>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</si>
  <si>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</si>
  <si>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</si>
  <si>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</si>
  <si>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</si>
  <si>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</si>
  <si>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</si>
  <si>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</si>
  <si>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</si>
  <si>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</si>
  <si>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</si>
  <si>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</si>
  <si>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</si>
  <si>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</si>
  <si>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</si>
  <si>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</si>
  <si>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</si>
  <si>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</si>
  <si>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</si>
  <si>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</si>
  <si>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</si>
  <si>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</si>
  <si>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</si>
  <si>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</si>
  <si>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</si>
  <si>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</si>
  <si>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</si>
  <si>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</si>
  <si>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</si>
  <si>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</si>
  <si>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</si>
  <si>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</si>
  <si>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</si>
  <si>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</si>
  <si>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</si>
  <si>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</si>
  <si>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</si>
  <si>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</si>
  <si>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</si>
  <si>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</si>
  <si>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</si>
  <si>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</si>
  <si>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</si>
  <si>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</si>
  <si>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</si>
  <si>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</si>
  <si>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</si>
  <si>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</si>
  <si>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</si>
  <si>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</si>
  <si>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</si>
  <si>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</si>
  <si>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</si>
  <si>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</si>
  <si>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</si>
  <si>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</si>
  <si>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</si>
  <si>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</si>
  <si>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</si>
  <si>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</si>
  <si>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</si>
  <si>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</si>
  <si>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</si>
  <si>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</si>
  <si>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</si>
  <si>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</si>
  <si>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</si>
  <si>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</si>
  <si>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</si>
  <si>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</si>
  <si>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</si>
  <si>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</si>
  <si>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</si>
  <si>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</si>
  <si>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</si>
  <si>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</si>
  <si>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</si>
  <si>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</si>
  <si>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</si>
  <si>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</si>
  <si>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</si>
  <si>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</si>
  <si>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</si>
  <si>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</si>
  <si>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</si>
  <si>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</si>
  <si>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</si>
  <si>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</si>
  <si>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</si>
  <si>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</si>
  <si>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</si>
  <si>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</si>
  <si>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</si>
  <si>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</si>
  <si>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</si>
  <si>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</si>
  <si>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</si>
  <si>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</si>
  <si>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</si>
  <si>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</si>
  <si>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</si>
  <si>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</si>
  <si>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</si>
  <si>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</si>
  <si>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</si>
  <si>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</si>
  <si>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</si>
  <si>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</si>
  <si>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</si>
  <si>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</si>
  <si>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</si>
  <si>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</si>
  <si>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</si>
  <si>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</si>
  <si>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</si>
  <si>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</si>
  <si>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</si>
  <si>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</si>
  <si>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</si>
  <si>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</si>
  <si>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</si>
  <si>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</si>
  <si>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</si>
  <si>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</si>
  <si>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</si>
  <si>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</si>
  <si>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</si>
  <si>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</si>
  <si>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</si>
  <si>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</si>
  <si>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</si>
  <si>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</si>
  <si>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</si>
  <si>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</si>
  <si>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</si>
  <si>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</si>
  <si>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</si>
  <si>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</si>
  <si>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</si>
  <si>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</si>
  <si>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</si>
  <si>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</si>
  <si>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</si>
  <si>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</si>
  <si>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</si>
  <si>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</si>
  <si>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</si>
  <si>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</si>
  <si>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</si>
  <si>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</si>
  <si>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</si>
  <si>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</si>
  <si>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</si>
  <si>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</si>
  <si>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</si>
  <si>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</si>
  <si>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</si>
  <si>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</si>
  <si>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</si>
  <si>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</si>
  <si>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</si>
  <si>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</si>
  <si>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</si>
  <si>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</si>
  <si>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</si>
  <si>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</si>
  <si>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</si>
  <si>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</si>
  <si>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</si>
  <si>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</si>
  <si>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</si>
  <si>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</si>
  <si>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</si>
  <si>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</si>
  <si>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</si>
  <si>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</si>
  <si>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</si>
  <si>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</si>
  <si>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</si>
  <si>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</si>
  <si>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</si>
  <si>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</si>
  <si>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</si>
  <si>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</si>
  <si>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</si>
  <si>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</si>
  <si>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</si>
  <si>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</si>
  <si>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</si>
  <si>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</si>
  <si>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</si>
  <si>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</si>
  <si>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</si>
  <si>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</si>
  <si>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</si>
  <si>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</si>
  <si>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</si>
  <si>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</si>
  <si>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</si>
  <si>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</si>
  <si>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</si>
  <si>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</si>
  <si>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</si>
  <si>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</si>
  <si>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</si>
  <si>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</si>
  <si>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</si>
  <si>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</si>
  <si>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</si>
  <si>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</si>
  <si>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</si>
  <si>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</si>
  <si>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</si>
  <si>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</si>
  <si>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</si>
  <si>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</si>
  <si>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</si>
  <si>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</si>
  <si>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</si>
  <si>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</si>
  <si>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</si>
  <si>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</si>
  <si>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</si>
  <si>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</si>
  <si>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</si>
  <si>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</si>
  <si>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</si>
  <si>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</si>
  <si>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</si>
  <si>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</si>
  <si>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</si>
  <si>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</si>
  <si>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</si>
  <si>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</si>
  <si>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</si>
  <si>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</si>
  <si>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</si>
  <si>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</si>
  <si>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</si>
  <si>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</si>
  <si>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</si>
  <si>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</si>
  <si>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</si>
  <si>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</si>
  <si>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</si>
  <si>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</si>
  <si>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</si>
  <si>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</si>
  <si>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</si>
  <si>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</si>
  <si>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</si>
  <si>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</si>
  <si>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</si>
  <si>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</si>
  <si>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</si>
  <si>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</si>
  <si>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</si>
  <si>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</si>
  <si>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</si>
  <si>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</si>
  <si>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</si>
  <si>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</si>
  <si>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</si>
  <si>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</si>
  <si>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</si>
  <si>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</si>
  <si>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</si>
  <si>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</si>
  <si>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</si>
  <si>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</si>
  <si>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</si>
  <si>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</si>
  <si>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</si>
  <si>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</si>
  <si>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</si>
  <si>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</si>
  <si>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</si>
  <si>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</si>
  <si>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</si>
  <si>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</si>
  <si>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</si>
  <si>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</si>
  <si>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</si>
  <si>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</si>
  <si>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</si>
  <si>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</si>
  <si>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</si>
  <si>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</si>
  <si>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</si>
  <si>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</si>
  <si>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</si>
  <si>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</si>
  <si>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</si>
  <si>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</si>
  <si>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</si>
  <si>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</si>
  <si>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</si>
  <si>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</si>
  <si>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</si>
  <si>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</si>
  <si>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</si>
  <si>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</si>
  <si>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</si>
  <si>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</si>
  <si>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</si>
  <si>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</si>
  <si>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</si>
  <si>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</si>
  <si>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</si>
  <si>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</si>
  <si>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</si>
  <si>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</si>
  <si>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</si>
  <si>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</si>
  <si>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</si>
  <si>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</si>
  <si>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</si>
  <si>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</si>
  <si>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</si>
  <si>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</si>
  <si>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</si>
  <si>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</si>
  <si>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</si>
  <si>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</si>
  <si>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</si>
  <si>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</si>
  <si>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</si>
  <si>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</si>
  <si>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</si>
  <si>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</si>
  <si>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</si>
  <si>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</si>
  <si>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</si>
  <si>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</si>
  <si>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</si>
  <si>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</si>
  <si>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</si>
  <si>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</si>
  <si>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</si>
  <si>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</si>
  <si>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</si>
  <si>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</si>
  <si>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</si>
  <si>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</si>
  <si>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</si>
  <si>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</si>
  <si>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</si>
  <si>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</si>
  <si>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</si>
  <si>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</si>
  <si>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</si>
  <si>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</si>
  <si>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</si>
  <si>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</si>
  <si>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</si>
  <si>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</si>
  <si>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</si>
  <si>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</si>
  <si>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</si>
  <si>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</si>
  <si>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</si>
  <si>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</si>
  <si>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</si>
  <si>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</si>
  <si>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</si>
  <si>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</si>
  <si>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</si>
  <si>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</si>
  <si>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</si>
  <si>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</si>
  <si>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</si>
  <si>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</si>
  <si>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</si>
  <si>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</si>
  <si>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</si>
  <si>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</si>
  <si>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</si>
  <si>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</si>
  <si>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</si>
  <si>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</si>
  <si>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</si>
  <si>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</si>
  <si>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</si>
  <si>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</si>
  <si>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</si>
  <si>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</si>
  <si>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</si>
  <si>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</si>
  <si>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</si>
  <si>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</si>
  <si>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</si>
  <si>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</si>
  <si>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</si>
  <si>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</si>
  <si>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</si>
  <si>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</si>
  <si>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</si>
  <si>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</si>
  <si>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</si>
  <si>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</si>
  <si>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</si>
  <si>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</si>
  <si>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</si>
  <si>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</si>
  <si>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</si>
  <si>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</si>
  <si>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</si>
  <si>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</si>
  <si>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</si>
  <si>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</si>
  <si>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</si>
  <si>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</si>
  <si>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</si>
  <si>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</si>
  <si>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</si>
  <si>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</si>
  <si>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</si>
  <si>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</si>
  <si>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</si>
  <si>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</si>
  <si>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</si>
  <si>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</si>
  <si>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</si>
  <si>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</si>
  <si>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</si>
  <si>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</si>
  <si>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</si>
  <si>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</si>
  <si>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</si>
  <si>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</si>
  <si>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</si>
  <si>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</si>
  <si>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</si>
  <si>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</si>
  <si>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</si>
  <si>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</si>
  <si>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</si>
  <si>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</si>
  <si>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</si>
  <si>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</si>
  <si>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</si>
  <si>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</si>
  <si>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</si>
  <si>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</si>
  <si>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</si>
  <si>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</si>
  <si>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</si>
  <si>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</si>
  <si>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</si>
  <si>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</si>
  <si>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</si>
  <si>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</si>
  <si>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</si>
  <si>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</si>
  <si>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</si>
  <si>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</si>
  <si>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</si>
  <si>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</si>
  <si>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</si>
  <si>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</si>
  <si>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</si>
  <si>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</si>
  <si>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</si>
  <si>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</si>
  <si>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</si>
  <si>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</si>
  <si>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</si>
  <si>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</si>
  <si>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</si>
  <si>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</si>
  <si>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</si>
  <si>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</si>
  <si>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</si>
  <si>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</si>
  <si>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</si>
  <si>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</si>
  <si>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</si>
  <si>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</si>
  <si>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</si>
  <si>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</si>
  <si>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</si>
  <si>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</si>
  <si>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</si>
  <si>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</si>
  <si>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</si>
  <si>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</si>
  <si>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</si>
  <si>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</si>
  <si>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</si>
  <si>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13001</t>
  </si>
  <si>
    <t>ARENDONK</t>
  </si>
  <si>
    <t>Eandis (januari 2018); Infrax (juni 2018)</t>
  </si>
  <si>
    <t>MOW (september 2017)</t>
  </si>
  <si>
    <t>referentietaak LNE (2017); Jaarverslag De Lijn (2016)</t>
  </si>
  <si>
    <t>VEA (april 2018)</t>
  </si>
  <si>
    <t>VEA (januari 2017)</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</si>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</sst>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125398.37078193194</c:v>
                </c:pt>
                <c:pt idx="1">
                  <c:v>97577.901940030672</c:v>
                </c:pt>
                <c:pt idx="2">
                  <c:v>848.80499999999995</c:v>
                </c:pt>
                <c:pt idx="3">
                  <c:v>74127.734274789356</c:v>
                </c:pt>
                <c:pt idx="4">
                  <c:v>46583.624723410387</c:v>
                </c:pt>
                <c:pt idx="5">
                  <c:v>97284.380793119577</c:v>
                </c:pt>
                <c:pt idx="6">
                  <c:v>759.87332498158878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727232"/>
      </c:barChart>
      <c:catAx>
        <c:axId val="183684480"/>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125398.37078193194</c:v>
                </c:pt>
                <c:pt idx="1">
                  <c:v>97577.901940030672</c:v>
                </c:pt>
                <c:pt idx="2">
                  <c:v>848.80499999999995</c:v>
                </c:pt>
                <c:pt idx="3">
                  <c:v>74127.734274789356</c:v>
                </c:pt>
                <c:pt idx="4">
                  <c:v>46583.624723410387</c:v>
                </c:pt>
                <c:pt idx="5">
                  <c:v>97284.380793119577</c:v>
                </c:pt>
                <c:pt idx="6">
                  <c:v>759.87332498158878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17867.336358687666</c:v>
                </c:pt>
                <c:pt idx="1">
                  <c:v>10693.735258423649</c:v>
                </c:pt>
                <c:pt idx="2">
                  <c:v>98.844248768771337</c:v>
                </c:pt>
                <c:pt idx="3">
                  <c:v>7165.7125375614896</c:v>
                </c:pt>
                <c:pt idx="4">
                  <c:v>6733.5695418513642</c:v>
                </c:pt>
                <c:pt idx="5">
                  <c:v>24393.883561084316</c:v>
                </c:pt>
                <c:pt idx="6">
                  <c:v>191.98242362902897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17867.336358687666</c:v>
                </c:pt>
                <c:pt idx="1">
                  <c:v>10693.735258423649</c:v>
                </c:pt>
                <c:pt idx="2">
                  <c:v>98.844248768771337</c:v>
                </c:pt>
                <c:pt idx="3">
                  <c:v>7165.7125375614896</c:v>
                </c:pt>
                <c:pt idx="4">
                  <c:v>6733.5695418513642</c:v>
                </c:pt>
                <c:pt idx="5">
                  <c:v>24393.883561084316</c:v>
                </c:pt>
                <c:pt idx="6">
                  <c:v>191.98242362902897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13001</v>
      </c>
      <c r="B6" s="415"/>
      <c r="C6" s="416"/>
    </row>
    <row r="7" spans="1:7" s="413" customFormat="1" ht="15.75" customHeight="1">
      <c r="A7" s="417" t="str">
        <f>txtMunicipality</f>
        <v>ARENDONK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44716.28980627963</v>
      </c>
      <c r="D10" s="718">
        <f ca="1">tertiair!C16</f>
        <v>0</v>
      </c>
      <c r="E10" s="718">
        <f ca="1">tertiair!D16</f>
        <v>13445.519095399881</v>
      </c>
      <c r="F10" s="718">
        <f>tertiair!E16</f>
        <v>199.84417389085729</v>
      </c>
      <c r="G10" s="718">
        <f ca="1">tertiair!F16</f>
        <v>10575.634352742889</v>
      </c>
      <c r="H10" s="718">
        <f>tertiair!G16</f>
        <v>0</v>
      </c>
      <c r="I10" s="718">
        <f>tertiair!H16</f>
        <v>0</v>
      </c>
      <c r="J10" s="718">
        <f>tertiair!I16</f>
        <v>0</v>
      </c>
      <c r="K10" s="718">
        <f>tertiair!J16</f>
        <v>0.75125872612327393</v>
      </c>
      <c r="L10" s="718">
        <f>tertiair!K16</f>
        <v>0</v>
      </c>
      <c r="M10" s="718">
        <f ca="1">tertiair!L16</f>
        <v>0</v>
      </c>
      <c r="N10" s="718">
        <f>tertiair!M16</f>
        <v>0</v>
      </c>
      <c r="O10" s="718">
        <f ca="1">tertiair!N16</f>
        <v>29404.584919657955</v>
      </c>
      <c r="P10" s="718">
        <f>tertiair!O16</f>
        <v>7.8166666666666664</v>
      </c>
      <c r="Q10" s="719">
        <f>tertiair!P16</f>
        <v>76.266666666666666</v>
      </c>
      <c r="R10" s="721">
        <f ca="1">SUM(C10:Q10)</f>
        <v>98426.706940030665</v>
      </c>
      <c r="S10" s="67"/>
    </row>
    <row r="11" spans="1:19" s="474" customFormat="1">
      <c r="A11" s="870" t="s">
        <v>225</v>
      </c>
      <c r="B11" s="875"/>
      <c r="C11" s="718">
        <f>huishoudens!B8</f>
        <v>21512.555322921286</v>
      </c>
      <c r="D11" s="718">
        <f>huishoudens!C8</f>
        <v>0</v>
      </c>
      <c r="E11" s="718">
        <f>huishoudens!D8</f>
        <v>61201.36381053782</v>
      </c>
      <c r="F11" s="718">
        <f>huishoudens!E8</f>
        <v>5034.7633651233127</v>
      </c>
      <c r="G11" s="718">
        <f>huishoudens!F8</f>
        <v>6953.5937919052167</v>
      </c>
      <c r="H11" s="718">
        <f>huishoudens!G8</f>
        <v>0</v>
      </c>
      <c r="I11" s="718">
        <f>huishoudens!H8</f>
        <v>0</v>
      </c>
      <c r="J11" s="718">
        <f>huishoudens!I8</f>
        <v>0</v>
      </c>
      <c r="K11" s="718">
        <f>huishoudens!J8</f>
        <v>0</v>
      </c>
      <c r="L11" s="718">
        <f>huishoudens!K8</f>
        <v>0</v>
      </c>
      <c r="M11" s="718">
        <f>huishoudens!L8</f>
        <v>0</v>
      </c>
      <c r="N11" s="718">
        <f>huishoudens!M8</f>
        <v>0</v>
      </c>
      <c r="O11" s="718">
        <f>huishoudens!N8</f>
        <v>29256.931158110958</v>
      </c>
      <c r="P11" s="718">
        <f>huishoudens!O8</f>
        <v>314.23</v>
      </c>
      <c r="Q11" s="719">
        <f>huishoudens!P8</f>
        <v>1124.9333333333334</v>
      </c>
      <c r="R11" s="721">
        <f>SUM(C11:Q11)</f>
        <v>125398.37078193194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20023.05909839219</v>
      </c>
      <c r="D13" s="718">
        <f>industrie!C18</f>
        <v>0</v>
      </c>
      <c r="E13" s="718">
        <f>industrie!D18</f>
        <v>9109.5097412731902</v>
      </c>
      <c r="F13" s="718">
        <f>industrie!E18</f>
        <v>2469.789998991364</v>
      </c>
      <c r="G13" s="718">
        <f>industrie!F18</f>
        <v>7479.2068961200921</v>
      </c>
      <c r="H13" s="718">
        <f>industrie!G18</f>
        <v>0</v>
      </c>
      <c r="I13" s="718">
        <f>industrie!H18</f>
        <v>0</v>
      </c>
      <c r="J13" s="718">
        <f>industrie!I18</f>
        <v>0</v>
      </c>
      <c r="K13" s="718">
        <f>industrie!J18</f>
        <v>11.727080681911424</v>
      </c>
      <c r="L13" s="718">
        <f>industrie!K18</f>
        <v>0</v>
      </c>
      <c r="M13" s="718">
        <f>industrie!L18</f>
        <v>0</v>
      </c>
      <c r="N13" s="718">
        <f>industrie!M18</f>
        <v>0</v>
      </c>
      <c r="O13" s="718">
        <f>industrie!N18</f>
        <v>7490.331907951635</v>
      </c>
      <c r="P13" s="718">
        <f>industrie!O18</f>
        <v>0</v>
      </c>
      <c r="Q13" s="719">
        <f>industrie!P18</f>
        <v>0</v>
      </c>
      <c r="R13" s="721">
        <f>SUM(C13:Q13)</f>
        <v>46583.624723410387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86251.904227593099</v>
      </c>
      <c r="D15" s="723">
        <f t="shared" ref="D15:Q15" ca="1" si="0">SUM(D9:D14)</f>
        <v>0</v>
      </c>
      <c r="E15" s="723">
        <f t="shared" ca="1" si="0"/>
        <v>83756.392647210887</v>
      </c>
      <c r="F15" s="723">
        <f t="shared" si="0"/>
        <v>7704.3975380055344</v>
      </c>
      <c r="G15" s="723">
        <f t="shared" ca="1" si="0"/>
        <v>25008.4350407682</v>
      </c>
      <c r="H15" s="723">
        <f t="shared" si="0"/>
        <v>0</v>
      </c>
      <c r="I15" s="723">
        <f t="shared" si="0"/>
        <v>0</v>
      </c>
      <c r="J15" s="723">
        <f t="shared" si="0"/>
        <v>0</v>
      </c>
      <c r="K15" s="723">
        <f t="shared" si="0"/>
        <v>12.478339408034698</v>
      </c>
      <c r="L15" s="723">
        <f t="shared" si="0"/>
        <v>0</v>
      </c>
      <c r="M15" s="723">
        <f t="shared" ca="1" si="0"/>
        <v>0</v>
      </c>
      <c r="N15" s="723">
        <f t="shared" si="0"/>
        <v>0</v>
      </c>
      <c r="O15" s="723">
        <f t="shared" ca="1" si="0"/>
        <v>66151.847985720553</v>
      </c>
      <c r="P15" s="723">
        <f t="shared" si="0"/>
        <v>322.04666666666668</v>
      </c>
      <c r="Q15" s="724">
        <f t="shared" si="0"/>
        <v>1201.2</v>
      </c>
      <c r="R15" s="725">
        <f ca="1">SUM(R9:R14)</f>
        <v>270408.702445373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719.03529449074517</v>
      </c>
      <c r="I18" s="718">
        <f>transport!H54</f>
        <v>0</v>
      </c>
      <c r="J18" s="718">
        <f>transport!I54</f>
        <v>0</v>
      </c>
      <c r="K18" s="718">
        <f>transport!J54</f>
        <v>0</v>
      </c>
      <c r="L18" s="718">
        <f>transport!K54</f>
        <v>0</v>
      </c>
      <c r="M18" s="718">
        <f>transport!L54</f>
        <v>0</v>
      </c>
      <c r="N18" s="718">
        <f>transport!M54</f>
        <v>40.8380304908436</v>
      </c>
      <c r="O18" s="718">
        <f>transport!N54</f>
        <v>0</v>
      </c>
      <c r="P18" s="718">
        <f>transport!O54</f>
        <v>0</v>
      </c>
      <c r="Q18" s="719">
        <f>transport!P54</f>
        <v>0</v>
      </c>
      <c r="R18" s="721">
        <f>SUM(C18:Q18)</f>
        <v>759.87332498158878</v>
      </c>
      <c r="S18" s="67"/>
    </row>
    <row r="19" spans="1:19" s="474" customFormat="1" ht="15" thickBot="1">
      <c r="A19" s="870" t="s">
        <v>307</v>
      </c>
      <c r="B19" s="875"/>
      <c r="C19" s="727">
        <f>transport!B14</f>
        <v>31.680414377412127</v>
      </c>
      <c r="D19" s="727">
        <f>transport!C14</f>
        <v>0</v>
      </c>
      <c r="E19" s="727">
        <f>transport!D14</f>
        <v>107.91674603394472</v>
      </c>
      <c r="F19" s="727">
        <f>transport!E14</f>
        <v>159.75142309141398</v>
      </c>
      <c r="G19" s="727">
        <f>transport!F14</f>
        <v>0</v>
      </c>
      <c r="H19" s="727">
        <f>transport!G14</f>
        <v>79553.42027380738</v>
      </c>
      <c r="I19" s="727">
        <f>transport!H14</f>
        <v>12415.134032724451</v>
      </c>
      <c r="J19" s="727">
        <f>transport!I14</f>
        <v>0</v>
      </c>
      <c r="K19" s="727">
        <f>transport!J14</f>
        <v>0</v>
      </c>
      <c r="L19" s="727">
        <f>transport!K14</f>
        <v>0</v>
      </c>
      <c r="M19" s="727">
        <f>transport!L14</f>
        <v>0</v>
      </c>
      <c r="N19" s="727">
        <f>transport!M14</f>
        <v>5016.4779030849813</v>
      </c>
      <c r="O19" s="727">
        <f>transport!N14</f>
        <v>0</v>
      </c>
      <c r="P19" s="727">
        <f>transport!O14</f>
        <v>0</v>
      </c>
      <c r="Q19" s="728">
        <f>transport!P14</f>
        <v>0</v>
      </c>
      <c r="R19" s="729">
        <f>SUM(C19:Q19)</f>
        <v>97284.380793119577</v>
      </c>
      <c r="S19" s="67"/>
    </row>
    <row r="20" spans="1:19" s="474" customFormat="1" ht="15.75" thickBot="1">
      <c r="A20" s="730" t="s">
        <v>230</v>
      </c>
      <c r="B20" s="878"/>
      <c r="C20" s="873">
        <f>SUM(C17:C19)</f>
        <v>31.680414377412127</v>
      </c>
      <c r="D20" s="731">
        <f t="shared" ref="D20:R20" si="1">SUM(D17:D19)</f>
        <v>0</v>
      </c>
      <c r="E20" s="731">
        <f t="shared" si="1"/>
        <v>107.91674603394472</v>
      </c>
      <c r="F20" s="731">
        <f t="shared" si="1"/>
        <v>159.75142309141398</v>
      </c>
      <c r="G20" s="731">
        <f t="shared" si="1"/>
        <v>0</v>
      </c>
      <c r="H20" s="731">
        <f t="shared" si="1"/>
        <v>80272.45556829813</v>
      </c>
      <c r="I20" s="731">
        <f t="shared" si="1"/>
        <v>12415.134032724451</v>
      </c>
      <c r="J20" s="731">
        <f t="shared" si="1"/>
        <v>0</v>
      </c>
      <c r="K20" s="731">
        <f t="shared" si="1"/>
        <v>0</v>
      </c>
      <c r="L20" s="731">
        <f t="shared" si="1"/>
        <v>0</v>
      </c>
      <c r="M20" s="731">
        <f t="shared" si="1"/>
        <v>0</v>
      </c>
      <c r="N20" s="731">
        <f t="shared" si="1"/>
        <v>5057.3159335758246</v>
      </c>
      <c r="O20" s="731">
        <f t="shared" si="1"/>
        <v>0</v>
      </c>
      <c r="P20" s="731">
        <f t="shared" si="1"/>
        <v>0</v>
      </c>
      <c r="Q20" s="732">
        <f t="shared" si="1"/>
        <v>0</v>
      </c>
      <c r="R20" s="733">
        <f t="shared" si="1"/>
        <v>98044.254118101162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5189.2530470718693</v>
      </c>
      <c r="D22" s="727">
        <f>+landbouw!C8</f>
        <v>43997.142857142855</v>
      </c>
      <c r="E22" s="727">
        <f>+landbouw!D8</f>
        <v>2418.8512660921506</v>
      </c>
      <c r="F22" s="727">
        <f>+landbouw!E8</f>
        <v>152.52799686165662</v>
      </c>
      <c r="G22" s="727">
        <f>+landbouw!F8</f>
        <v>21618.147781584943</v>
      </c>
      <c r="H22" s="727">
        <f>+landbouw!G8</f>
        <v>0</v>
      </c>
      <c r="I22" s="727">
        <f>+landbouw!H8</f>
        <v>0</v>
      </c>
      <c r="J22" s="727">
        <f>+landbouw!I8</f>
        <v>0</v>
      </c>
      <c r="K22" s="727">
        <f>+landbouw!J8</f>
        <v>751.81132603588139</v>
      </c>
      <c r="L22" s="727">
        <f>+landbouw!K8</f>
        <v>0</v>
      </c>
      <c r="M22" s="727">
        <f>+landbouw!L8</f>
        <v>0</v>
      </c>
      <c r="N22" s="727">
        <f>+landbouw!M8</f>
        <v>0</v>
      </c>
      <c r="O22" s="727">
        <f>+landbouw!N8</f>
        <v>0</v>
      </c>
      <c r="P22" s="727">
        <f>+landbouw!O8</f>
        <v>0</v>
      </c>
      <c r="Q22" s="728">
        <f>+landbouw!P8</f>
        <v>0</v>
      </c>
      <c r="R22" s="729">
        <f>SUM(C22:Q22)</f>
        <v>74127.734274789356</v>
      </c>
      <c r="S22" s="67"/>
    </row>
    <row r="23" spans="1:19" s="474" customFormat="1" ht="17.25" thickTop="1" thickBot="1">
      <c r="A23" s="734" t="s">
        <v>116</v>
      </c>
      <c r="B23" s="864"/>
      <c r="C23" s="735">
        <f ca="1">C20+C15+C22</f>
        <v>91472.837689042368</v>
      </c>
      <c r="D23" s="735">
        <f t="shared" ref="D23:Q23" ca="1" si="2">D20+D15+D22</f>
        <v>43997.142857142855</v>
      </c>
      <c r="E23" s="735">
        <f t="shared" ca="1" si="2"/>
        <v>86283.16065933698</v>
      </c>
      <c r="F23" s="735">
        <f t="shared" si="2"/>
        <v>8016.6769579586053</v>
      </c>
      <c r="G23" s="735">
        <f t="shared" ca="1" si="2"/>
        <v>46626.582822353143</v>
      </c>
      <c r="H23" s="735">
        <f t="shared" si="2"/>
        <v>80272.45556829813</v>
      </c>
      <c r="I23" s="735">
        <f t="shared" si="2"/>
        <v>12415.134032724451</v>
      </c>
      <c r="J23" s="735">
        <f t="shared" si="2"/>
        <v>0</v>
      </c>
      <c r="K23" s="735">
        <f t="shared" si="2"/>
        <v>764.28966544391608</v>
      </c>
      <c r="L23" s="735">
        <f t="shared" si="2"/>
        <v>0</v>
      </c>
      <c r="M23" s="735">
        <f t="shared" ca="1" si="2"/>
        <v>0</v>
      </c>
      <c r="N23" s="735">
        <f t="shared" si="2"/>
        <v>5057.3159335758246</v>
      </c>
      <c r="O23" s="735">
        <f t="shared" ca="1" si="2"/>
        <v>66151.847985720553</v>
      </c>
      <c r="P23" s="735">
        <f t="shared" si="2"/>
        <v>322.04666666666668</v>
      </c>
      <c r="Q23" s="736">
        <f t="shared" si="2"/>
        <v>1201.2</v>
      </c>
      <c r="R23" s="737">
        <f ca="1">R20+R15+R22</f>
        <v>442580.69083826349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5207.2597046770206</v>
      </c>
      <c r="D36" s="718">
        <f ca="1">tertiair!C20</f>
        <v>0</v>
      </c>
      <c r="E36" s="718">
        <f ca="1">tertiair!D20</f>
        <v>2715.9948572707763</v>
      </c>
      <c r="F36" s="718">
        <f>tertiair!E20</f>
        <v>45.364627473224608</v>
      </c>
      <c r="G36" s="718">
        <f ca="1">tertiair!F20</f>
        <v>2823.6943721823513</v>
      </c>
      <c r="H36" s="718">
        <f>tertiair!G20</f>
        <v>0</v>
      </c>
      <c r="I36" s="718">
        <f>tertiair!H20</f>
        <v>0</v>
      </c>
      <c r="J36" s="718">
        <f>tertiair!I20</f>
        <v>0</v>
      </c>
      <c r="K36" s="718">
        <f>tertiair!J20</f>
        <v>0.26594558904763899</v>
      </c>
      <c r="L36" s="718">
        <f>tertiair!K20</f>
        <v>0</v>
      </c>
      <c r="M36" s="718">
        <f ca="1">tertiair!L20</f>
        <v>0</v>
      </c>
      <c r="N36" s="718">
        <f>tertiair!M20</f>
        <v>0</v>
      </c>
      <c r="O36" s="718">
        <f ca="1">tertiair!N20</f>
        <v>0</v>
      </c>
      <c r="P36" s="718">
        <f>tertiair!O20</f>
        <v>0</v>
      </c>
      <c r="Q36" s="828">
        <f>tertiair!P20</f>
        <v>0</v>
      </c>
      <c r="R36" s="917">
        <f ca="1">SUM(C36:Q36)</f>
        <v>10792.57950719242</v>
      </c>
    </row>
    <row r="37" spans="1:18">
      <c r="A37" s="885" t="s">
        <v>225</v>
      </c>
      <c r="B37" s="892"/>
      <c r="C37" s="718">
        <f ca="1">huishoudens!B12</f>
        <v>2505.1600426373407</v>
      </c>
      <c r="D37" s="718">
        <f ca="1">huishoudens!C12</f>
        <v>0</v>
      </c>
      <c r="E37" s="718">
        <f>huishoudens!D12</f>
        <v>12362.675489728641</v>
      </c>
      <c r="F37" s="718">
        <f>huishoudens!E12</f>
        <v>1142.891283882992</v>
      </c>
      <c r="G37" s="718">
        <f>huishoudens!F12</f>
        <v>1856.6095424386929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17867.336358687666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2331.7066165176784</v>
      </c>
      <c r="D39" s="718">
        <f ca="1">industrie!C22</f>
        <v>0</v>
      </c>
      <c r="E39" s="718">
        <f>industrie!D22</f>
        <v>1840.1209677371846</v>
      </c>
      <c r="F39" s="718">
        <f>industrie!E22</f>
        <v>560.64232977103961</v>
      </c>
      <c r="G39" s="718">
        <f>industrie!F22</f>
        <v>1996.9482412640648</v>
      </c>
      <c r="H39" s="718">
        <f>industrie!G22</f>
        <v>0</v>
      </c>
      <c r="I39" s="718">
        <f>industrie!H22</f>
        <v>0</v>
      </c>
      <c r="J39" s="718">
        <f>industrie!I22</f>
        <v>0</v>
      </c>
      <c r="K39" s="718">
        <f>industrie!J22</f>
        <v>4.1513865613966443</v>
      </c>
      <c r="L39" s="718">
        <f>industrie!K22</f>
        <v>0</v>
      </c>
      <c r="M39" s="718">
        <f>industrie!L22</f>
        <v>0</v>
      </c>
      <c r="N39" s="718">
        <f>industrie!M22</f>
        <v>0</v>
      </c>
      <c r="O39" s="718">
        <f>industrie!N22</f>
        <v>0</v>
      </c>
      <c r="P39" s="718">
        <f>industrie!O22</f>
        <v>0</v>
      </c>
      <c r="Q39" s="828">
        <f>industrie!P22</f>
        <v>0</v>
      </c>
      <c r="R39" s="918">
        <f ca="1">SUM(C39:Q39)</f>
        <v>6733.5695418513642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10044.12636383204</v>
      </c>
      <c r="D41" s="763">
        <f t="shared" ref="D41:R41" ca="1" si="4">SUM(D35:D40)</f>
        <v>0</v>
      </c>
      <c r="E41" s="763">
        <f t="shared" ca="1" si="4"/>
        <v>16918.791314736602</v>
      </c>
      <c r="F41" s="763">
        <f t="shared" si="4"/>
        <v>1748.8982411272561</v>
      </c>
      <c r="G41" s="763">
        <f t="shared" ca="1" si="4"/>
        <v>6677.2521558851086</v>
      </c>
      <c r="H41" s="763">
        <f t="shared" si="4"/>
        <v>0</v>
      </c>
      <c r="I41" s="763">
        <f t="shared" si="4"/>
        <v>0</v>
      </c>
      <c r="J41" s="763">
        <f t="shared" si="4"/>
        <v>0</v>
      </c>
      <c r="K41" s="763">
        <f t="shared" si="4"/>
        <v>4.4173321504442828</v>
      </c>
      <c r="L41" s="763">
        <f t="shared" si="4"/>
        <v>0</v>
      </c>
      <c r="M41" s="763">
        <f t="shared" ca="1" si="4"/>
        <v>0</v>
      </c>
      <c r="N41" s="763">
        <f t="shared" si="4"/>
        <v>0</v>
      </c>
      <c r="O41" s="763">
        <f t="shared" ca="1" si="4"/>
        <v>0</v>
      </c>
      <c r="P41" s="763">
        <f t="shared" si="4"/>
        <v>0</v>
      </c>
      <c r="Q41" s="764">
        <f t="shared" si="4"/>
        <v>0</v>
      </c>
      <c r="R41" s="765">
        <f t="shared" ca="1" si="4"/>
        <v>35393.485407731452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191.98242362902897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191.98242362902897</v>
      </c>
    </row>
    <row r="45" spans="1:18" ht="15" thickBot="1">
      <c r="A45" s="888" t="s">
        <v>307</v>
      </c>
      <c r="B45" s="898"/>
      <c r="C45" s="727">
        <f ca="1">transport!B18</f>
        <v>3.6892180887467494</v>
      </c>
      <c r="D45" s="727">
        <f>transport!C18</f>
        <v>0</v>
      </c>
      <c r="E45" s="727">
        <f>transport!D18</f>
        <v>21.799182698856836</v>
      </c>
      <c r="F45" s="727">
        <f>transport!E18</f>
        <v>36.263573041750973</v>
      </c>
      <c r="G45" s="727">
        <f>transport!F18</f>
        <v>0</v>
      </c>
      <c r="H45" s="727">
        <f>transport!G18</f>
        <v>21240.763213106573</v>
      </c>
      <c r="I45" s="727">
        <f>transport!H18</f>
        <v>3091.3683741483883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24393.883561084316</v>
      </c>
    </row>
    <row r="46" spans="1:18" ht="15.75" thickBot="1">
      <c r="A46" s="886" t="s">
        <v>230</v>
      </c>
      <c r="B46" s="899"/>
      <c r="C46" s="763">
        <f t="shared" ref="C46:R46" ca="1" si="5">SUM(C43:C45)</f>
        <v>3.6892180887467494</v>
      </c>
      <c r="D46" s="763">
        <f t="shared" ca="1" si="5"/>
        <v>0</v>
      </c>
      <c r="E46" s="763">
        <f t="shared" si="5"/>
        <v>21.799182698856836</v>
      </c>
      <c r="F46" s="763">
        <f t="shared" si="5"/>
        <v>36.263573041750973</v>
      </c>
      <c r="G46" s="763">
        <f t="shared" si="5"/>
        <v>0</v>
      </c>
      <c r="H46" s="763">
        <f t="shared" si="5"/>
        <v>21432.745636735603</v>
      </c>
      <c r="I46" s="763">
        <f t="shared" si="5"/>
        <v>3091.3683741483883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24585.865984713346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604.29405942339713</v>
      </c>
      <c r="D48" s="718">
        <f ca="1">+landbouw!C12</f>
        <v>0</v>
      </c>
      <c r="E48" s="718">
        <f>+landbouw!D12</f>
        <v>488.60795575061445</v>
      </c>
      <c r="F48" s="718">
        <f>+landbouw!E12</f>
        <v>34.623855287596051</v>
      </c>
      <c r="G48" s="718">
        <f>+landbouw!F12</f>
        <v>5772.0454576831798</v>
      </c>
      <c r="H48" s="718">
        <f>+landbouw!G12</f>
        <v>0</v>
      </c>
      <c r="I48" s="718">
        <f>+landbouw!H12</f>
        <v>0</v>
      </c>
      <c r="J48" s="718">
        <f>+landbouw!I12</f>
        <v>0</v>
      </c>
      <c r="K48" s="718">
        <f>+landbouw!J12</f>
        <v>266.141209416702</v>
      </c>
      <c r="L48" s="718">
        <f>+landbouw!K12</f>
        <v>0</v>
      </c>
      <c r="M48" s="718">
        <f>+landbouw!L12</f>
        <v>0</v>
      </c>
      <c r="N48" s="718">
        <f>+landbouw!M12</f>
        <v>0</v>
      </c>
      <c r="O48" s="718">
        <f>+landbouw!N12</f>
        <v>0</v>
      </c>
      <c r="P48" s="718">
        <f>+landbouw!O12</f>
        <v>0</v>
      </c>
      <c r="Q48" s="719">
        <f>+landbouw!P12</f>
        <v>0</v>
      </c>
      <c r="R48" s="761">
        <f ca="1">SUM(C48:Q48)</f>
        <v>7165.7125375614896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10652.109641344183</v>
      </c>
      <c r="D53" s="773">
        <f t="shared" ref="D53:Q53" ca="1" si="6">D41+D46+D48</f>
        <v>0</v>
      </c>
      <c r="E53" s="773">
        <f t="shared" ca="1" si="6"/>
        <v>17429.198453186073</v>
      </c>
      <c r="F53" s="773">
        <f t="shared" si="6"/>
        <v>1819.7856694566033</v>
      </c>
      <c r="G53" s="773">
        <f t="shared" ca="1" si="6"/>
        <v>12449.297613568287</v>
      </c>
      <c r="H53" s="773">
        <f t="shared" si="6"/>
        <v>21432.745636735603</v>
      </c>
      <c r="I53" s="773">
        <f t="shared" si="6"/>
        <v>3091.3683741483883</v>
      </c>
      <c r="J53" s="773">
        <f t="shared" si="6"/>
        <v>0</v>
      </c>
      <c r="K53" s="773">
        <f t="shared" si="6"/>
        <v>270.55854156714628</v>
      </c>
      <c r="L53" s="773">
        <f t="shared" si="6"/>
        <v>0</v>
      </c>
      <c r="M53" s="773">
        <f t="shared" ca="1" si="6"/>
        <v>0</v>
      </c>
      <c r="N53" s="773">
        <f t="shared" si="6"/>
        <v>0</v>
      </c>
      <c r="O53" s="773">
        <f t="shared" ca="1" si="6"/>
        <v>0</v>
      </c>
      <c r="P53" s="773">
        <f>P41+P46+P48</f>
        <v>0</v>
      </c>
      <c r="Q53" s="774">
        <f t="shared" si="6"/>
        <v>0</v>
      </c>
      <c r="R53" s="775">
        <f ca="1">R41+R46+R48</f>
        <v>67145.06393000629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0.11645106799414631</v>
      </c>
      <c r="D55" s="836">
        <f t="shared" ca="1" si="7"/>
        <v>0</v>
      </c>
      <c r="E55" s="836">
        <f t="shared" ca="1" si="7"/>
        <v>0.20200000000000004</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3961.4131571063949</v>
      </c>
      <c r="C64" s="795">
        <f>'lokale energieproductie'!B4</f>
        <v>3961.4131571063949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8513.8333946319872</v>
      </c>
      <c r="C66" s="795">
        <f>'lokale energieproductie'!B6</f>
        <v>8513.8333946319872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30798</v>
      </c>
      <c r="C67" s="794">
        <f>B67*IFERROR(SUM(J67:L67)/SUM(D67:M67),0)</f>
        <v>30798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36232.941176470587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43273.246551738383</v>
      </c>
      <c r="C69" s="803">
        <f>SUM(C64:C68)</f>
        <v>43273.246551738383</v>
      </c>
      <c r="D69" s="804">
        <f t="shared" ref="D69:M69" si="8">SUM(D67:D68)</f>
        <v>0</v>
      </c>
      <c r="E69" s="804">
        <f t="shared" si="8"/>
        <v>0</v>
      </c>
      <c r="F69" s="804">
        <f t="shared" si="8"/>
        <v>0</v>
      </c>
      <c r="G69" s="804">
        <f t="shared" si="8"/>
        <v>0</v>
      </c>
      <c r="H69" s="804">
        <f t="shared" si="8"/>
        <v>0</v>
      </c>
      <c r="I69" s="804">
        <f t="shared" si="8"/>
        <v>0</v>
      </c>
      <c r="J69" s="804">
        <f t="shared" si="8"/>
        <v>0</v>
      </c>
      <c r="K69" s="804">
        <f t="shared" si="8"/>
        <v>36232.941176470587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43997.142857142855</v>
      </c>
      <c r="C78" s="817">
        <f>B78*IFERROR(SUM(I78:L78)/SUM(D78:M78),0)</f>
        <v>43997.142857142855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51761.344537815123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43997.142857142855</v>
      </c>
      <c r="C81" s="803">
        <f>SUM(C78:C80)</f>
        <v>43997.142857142855</v>
      </c>
      <c r="D81" s="803">
        <f t="shared" ref="D81:P81" si="9">SUM(D78:D80)</f>
        <v>0</v>
      </c>
      <c r="E81" s="803">
        <f t="shared" si="9"/>
        <v>0</v>
      </c>
      <c r="F81" s="803">
        <f t="shared" si="9"/>
        <v>0</v>
      </c>
      <c r="G81" s="803">
        <f t="shared" si="9"/>
        <v>0</v>
      </c>
      <c r="H81" s="803">
        <f t="shared" si="9"/>
        <v>0</v>
      </c>
      <c r="I81" s="803">
        <f t="shared" si="9"/>
        <v>0</v>
      </c>
      <c r="J81" s="803">
        <f t="shared" si="9"/>
        <v>0</v>
      </c>
      <c r="K81" s="803">
        <f t="shared" si="9"/>
        <v>51761.344537815123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21512.555322921286</v>
      </c>
      <c r="C4" s="478">
        <f>huishoudens!C8</f>
        <v>0</v>
      </c>
      <c r="D4" s="478">
        <f>huishoudens!D8</f>
        <v>61201.36381053782</v>
      </c>
      <c r="E4" s="478">
        <f>huishoudens!E8</f>
        <v>5034.7633651233127</v>
      </c>
      <c r="F4" s="478">
        <f>huishoudens!F8</f>
        <v>6953.5937919052167</v>
      </c>
      <c r="G4" s="478">
        <f>huishoudens!G8</f>
        <v>0</v>
      </c>
      <c r="H4" s="478">
        <f>huishoudens!H8</f>
        <v>0</v>
      </c>
      <c r="I4" s="478">
        <f>huishoudens!I8</f>
        <v>0</v>
      </c>
      <c r="J4" s="478">
        <f>huishoudens!J8</f>
        <v>0</v>
      </c>
      <c r="K4" s="478">
        <f>huishoudens!K8</f>
        <v>0</v>
      </c>
      <c r="L4" s="478">
        <f>huishoudens!L8</f>
        <v>0</v>
      </c>
      <c r="M4" s="478">
        <f>huishoudens!M8</f>
        <v>0</v>
      </c>
      <c r="N4" s="478">
        <f>huishoudens!N8</f>
        <v>29256.931158110958</v>
      </c>
      <c r="O4" s="478">
        <f>huishoudens!O8</f>
        <v>314.23</v>
      </c>
      <c r="P4" s="479">
        <f>huishoudens!P8</f>
        <v>1124.9333333333334</v>
      </c>
      <c r="Q4" s="480">
        <f>SUM(B4:P4)</f>
        <v>125398.37078193194</v>
      </c>
    </row>
    <row r="5" spans="1:17">
      <c r="A5" s="477" t="s">
        <v>156</v>
      </c>
      <c r="B5" s="478">
        <f ca="1">tertiair!B16</f>
        <v>43867.48480627963</v>
      </c>
      <c r="C5" s="478">
        <f ca="1">tertiair!C16</f>
        <v>0</v>
      </c>
      <c r="D5" s="478">
        <f ca="1">tertiair!D16</f>
        <v>13445.519095399881</v>
      </c>
      <c r="E5" s="478">
        <f>tertiair!E16</f>
        <v>199.84417389085729</v>
      </c>
      <c r="F5" s="478">
        <f ca="1">tertiair!F16</f>
        <v>10575.634352742889</v>
      </c>
      <c r="G5" s="478">
        <f>tertiair!G16</f>
        <v>0</v>
      </c>
      <c r="H5" s="478">
        <f>tertiair!H16</f>
        <v>0</v>
      </c>
      <c r="I5" s="478">
        <f>tertiair!I16</f>
        <v>0</v>
      </c>
      <c r="J5" s="478">
        <f>tertiair!J16</f>
        <v>0.75125872612327393</v>
      </c>
      <c r="K5" s="478">
        <f>tertiair!K16</f>
        <v>0</v>
      </c>
      <c r="L5" s="478">
        <f ca="1">tertiair!L16</f>
        <v>0</v>
      </c>
      <c r="M5" s="478">
        <f>tertiair!M16</f>
        <v>0</v>
      </c>
      <c r="N5" s="478">
        <f ca="1">tertiair!N16</f>
        <v>29404.584919657955</v>
      </c>
      <c r="O5" s="478">
        <f>tertiair!O16</f>
        <v>7.8166666666666664</v>
      </c>
      <c r="P5" s="479">
        <f>tertiair!P16</f>
        <v>76.266666666666666</v>
      </c>
      <c r="Q5" s="477">
        <f t="shared" ref="Q5:Q13" ca="1" si="0">SUM(B5:P5)</f>
        <v>97577.901940030672</v>
      </c>
    </row>
    <row r="6" spans="1:17">
      <c r="A6" s="477" t="s">
        <v>194</v>
      </c>
      <c r="B6" s="478">
        <f>'openbare verlichting'!B8</f>
        <v>848.80499999999995</v>
      </c>
      <c r="C6" s="478"/>
      <c r="D6" s="478"/>
      <c r="E6" s="478"/>
      <c r="F6" s="478"/>
      <c r="G6" s="478"/>
      <c r="H6" s="478"/>
      <c r="I6" s="478"/>
      <c r="J6" s="478"/>
      <c r="K6" s="478"/>
      <c r="L6" s="478"/>
      <c r="M6" s="478"/>
      <c r="N6" s="478"/>
      <c r="O6" s="478"/>
      <c r="P6" s="479"/>
      <c r="Q6" s="477">
        <f t="shared" si="0"/>
        <v>848.80499999999995</v>
      </c>
    </row>
    <row r="7" spans="1:17">
      <c r="A7" s="477" t="s">
        <v>112</v>
      </c>
      <c r="B7" s="478">
        <f>landbouw!B8</f>
        <v>5189.2530470718693</v>
      </c>
      <c r="C7" s="478">
        <f>landbouw!C8</f>
        <v>43997.142857142855</v>
      </c>
      <c r="D7" s="478">
        <f>landbouw!D8</f>
        <v>2418.8512660921506</v>
      </c>
      <c r="E7" s="478">
        <f>landbouw!E8</f>
        <v>152.52799686165662</v>
      </c>
      <c r="F7" s="478">
        <f>landbouw!F8</f>
        <v>21618.147781584943</v>
      </c>
      <c r="G7" s="478">
        <f>landbouw!G8</f>
        <v>0</v>
      </c>
      <c r="H7" s="478">
        <f>landbouw!H8</f>
        <v>0</v>
      </c>
      <c r="I7" s="478">
        <f>landbouw!I8</f>
        <v>0</v>
      </c>
      <c r="J7" s="478">
        <f>landbouw!J8</f>
        <v>751.81132603588139</v>
      </c>
      <c r="K7" s="478">
        <f>landbouw!K8</f>
        <v>0</v>
      </c>
      <c r="L7" s="478">
        <f>landbouw!L8</f>
        <v>0</v>
      </c>
      <c r="M7" s="478">
        <f>landbouw!M8</f>
        <v>0</v>
      </c>
      <c r="N7" s="478">
        <f>landbouw!N8</f>
        <v>0</v>
      </c>
      <c r="O7" s="478">
        <f>landbouw!O8</f>
        <v>0</v>
      </c>
      <c r="P7" s="479">
        <f>landbouw!P8</f>
        <v>0</v>
      </c>
      <c r="Q7" s="477">
        <f t="shared" si="0"/>
        <v>74127.734274789356</v>
      </c>
    </row>
    <row r="8" spans="1:17">
      <c r="A8" s="477" t="s">
        <v>635</v>
      </c>
      <c r="B8" s="478">
        <f>industrie!B18</f>
        <v>20023.05909839219</v>
      </c>
      <c r="C8" s="478">
        <f>industrie!C18</f>
        <v>0</v>
      </c>
      <c r="D8" s="478">
        <f>industrie!D18</f>
        <v>9109.5097412731902</v>
      </c>
      <c r="E8" s="478">
        <f>industrie!E18</f>
        <v>2469.789998991364</v>
      </c>
      <c r="F8" s="478">
        <f>industrie!F18</f>
        <v>7479.2068961200921</v>
      </c>
      <c r="G8" s="478">
        <f>industrie!G18</f>
        <v>0</v>
      </c>
      <c r="H8" s="478">
        <f>industrie!H18</f>
        <v>0</v>
      </c>
      <c r="I8" s="478">
        <f>industrie!I18</f>
        <v>0</v>
      </c>
      <c r="J8" s="478">
        <f>industrie!J18</f>
        <v>11.727080681911424</v>
      </c>
      <c r="K8" s="478">
        <f>industrie!K18</f>
        <v>0</v>
      </c>
      <c r="L8" s="478">
        <f>industrie!L18</f>
        <v>0</v>
      </c>
      <c r="M8" s="478">
        <f>industrie!M18</f>
        <v>0</v>
      </c>
      <c r="N8" s="478">
        <f>industrie!N18</f>
        <v>7490.331907951635</v>
      </c>
      <c r="O8" s="478">
        <f>industrie!O18</f>
        <v>0</v>
      </c>
      <c r="P8" s="479">
        <f>industrie!P18</f>
        <v>0</v>
      </c>
      <c r="Q8" s="477">
        <f t="shared" si="0"/>
        <v>46583.624723410387</v>
      </c>
    </row>
    <row r="9" spans="1:17" s="483" customFormat="1">
      <c r="A9" s="481" t="s">
        <v>561</v>
      </c>
      <c r="B9" s="482">
        <f>transport!B14</f>
        <v>31.680414377412127</v>
      </c>
      <c r="C9" s="482"/>
      <c r="D9" s="482">
        <f>transport!D14</f>
        <v>107.91674603394472</v>
      </c>
      <c r="E9" s="482">
        <f>transport!E14</f>
        <v>159.75142309141398</v>
      </c>
      <c r="F9" s="482"/>
      <c r="G9" s="482">
        <f>transport!G14</f>
        <v>79553.42027380738</v>
      </c>
      <c r="H9" s="482">
        <f>transport!H14</f>
        <v>12415.134032724451</v>
      </c>
      <c r="I9" s="482"/>
      <c r="J9" s="482"/>
      <c r="K9" s="482"/>
      <c r="L9" s="482"/>
      <c r="M9" s="482">
        <f>transport!M14</f>
        <v>5016.4779030849813</v>
      </c>
      <c r="N9" s="482"/>
      <c r="O9" s="482"/>
      <c r="P9" s="482"/>
      <c r="Q9" s="481">
        <f>SUM(B9:P9)</f>
        <v>97284.380793119577</v>
      </c>
    </row>
    <row r="10" spans="1:17">
      <c r="A10" s="477" t="s">
        <v>551</v>
      </c>
      <c r="B10" s="478">
        <f>transport!B54</f>
        <v>0</v>
      </c>
      <c r="C10" s="478"/>
      <c r="D10" s="478">
        <f>transport!D54</f>
        <v>0</v>
      </c>
      <c r="E10" s="478"/>
      <c r="F10" s="478"/>
      <c r="G10" s="478">
        <f>transport!G54</f>
        <v>719.03529449074517</v>
      </c>
      <c r="H10" s="478"/>
      <c r="I10" s="478"/>
      <c r="J10" s="478"/>
      <c r="K10" s="478"/>
      <c r="L10" s="478"/>
      <c r="M10" s="478">
        <f>transport!M54</f>
        <v>40.8380304908436</v>
      </c>
      <c r="N10" s="478"/>
      <c r="O10" s="478"/>
      <c r="P10" s="479"/>
      <c r="Q10" s="477">
        <f t="shared" si="0"/>
        <v>759.87332498158878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91472.837689042368</v>
      </c>
      <c r="C14" s="488">
        <f t="shared" ref="C14:Q14" ca="1" si="1">SUM(C4:C13)</f>
        <v>43997.142857142855</v>
      </c>
      <c r="D14" s="488">
        <f t="shared" ca="1" si="1"/>
        <v>86283.16065933698</v>
      </c>
      <c r="E14" s="488">
        <f t="shared" si="1"/>
        <v>8016.6769579586053</v>
      </c>
      <c r="F14" s="488">
        <f t="shared" ca="1" si="1"/>
        <v>46626.582822353143</v>
      </c>
      <c r="G14" s="488">
        <f t="shared" si="1"/>
        <v>80272.45556829813</v>
      </c>
      <c r="H14" s="488">
        <f t="shared" si="1"/>
        <v>12415.134032724451</v>
      </c>
      <c r="I14" s="488">
        <f t="shared" si="1"/>
        <v>0</v>
      </c>
      <c r="J14" s="488">
        <f t="shared" si="1"/>
        <v>764.28966544391608</v>
      </c>
      <c r="K14" s="488">
        <f t="shared" si="1"/>
        <v>0</v>
      </c>
      <c r="L14" s="488">
        <f t="shared" ca="1" si="1"/>
        <v>0</v>
      </c>
      <c r="M14" s="488">
        <f t="shared" si="1"/>
        <v>5057.3159335758246</v>
      </c>
      <c r="N14" s="488">
        <f t="shared" ca="1" si="1"/>
        <v>66151.847985720553</v>
      </c>
      <c r="O14" s="488">
        <f t="shared" si="1"/>
        <v>322.04666666666668</v>
      </c>
      <c r="P14" s="489">
        <f t="shared" si="1"/>
        <v>1201.2</v>
      </c>
      <c r="Q14" s="489">
        <f t="shared" ca="1" si="1"/>
        <v>442580.69083826354</v>
      </c>
    </row>
    <row r="16" spans="1:17">
      <c r="A16" s="491" t="s">
        <v>556</v>
      </c>
      <c r="B16" s="841">
        <f ca="1">huishoudens!B10</f>
        <v>0.1164510679941463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2505.1600426373407</v>
      </c>
      <c r="C21" s="478">
        <f t="shared" ref="C21:C28" ca="1" si="3">C4*$C$16</f>
        <v>0</v>
      </c>
      <c r="D21" s="478">
        <f t="shared" ref="D21:D30" si="4">D4*$D$16</f>
        <v>12362.675489728641</v>
      </c>
      <c r="E21" s="478">
        <f t="shared" ref="E21:E30" si="5">E4*$E$16</f>
        <v>1142.891283882992</v>
      </c>
      <c r="F21" s="478">
        <f t="shared" ref="F21:F28" si="6">F4*$F$16</f>
        <v>1856.6095424386929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17867.336358687666</v>
      </c>
    </row>
    <row r="22" spans="1:17">
      <c r="A22" s="477" t="s">
        <v>156</v>
      </c>
      <c r="B22" s="478">
        <f t="shared" ca="1" si="2"/>
        <v>5108.415455908249</v>
      </c>
      <c r="C22" s="478">
        <f t="shared" ca="1" si="3"/>
        <v>0</v>
      </c>
      <c r="D22" s="478">
        <f t="shared" ca="1" si="4"/>
        <v>2715.9948572707763</v>
      </c>
      <c r="E22" s="478">
        <f t="shared" si="5"/>
        <v>45.364627473224608</v>
      </c>
      <c r="F22" s="478">
        <f t="shared" ca="1" si="6"/>
        <v>2823.6943721823513</v>
      </c>
      <c r="G22" s="478">
        <f t="shared" si="7"/>
        <v>0</v>
      </c>
      <c r="H22" s="478">
        <f t="shared" si="8"/>
        <v>0</v>
      </c>
      <c r="I22" s="478">
        <f t="shared" si="9"/>
        <v>0</v>
      </c>
      <c r="J22" s="478">
        <f t="shared" si="10"/>
        <v>0.26594558904763899</v>
      </c>
      <c r="K22" s="478">
        <f t="shared" si="11"/>
        <v>0</v>
      </c>
      <c r="L22" s="478">
        <f t="shared" ca="1" si="12"/>
        <v>0</v>
      </c>
      <c r="M22" s="478">
        <f t="shared" si="13"/>
        <v>0</v>
      </c>
      <c r="N22" s="478">
        <f t="shared" ca="1" si="14"/>
        <v>0</v>
      </c>
      <c r="O22" s="478">
        <f t="shared" si="15"/>
        <v>0</v>
      </c>
      <c r="P22" s="479">
        <f t="shared" si="16"/>
        <v>0</v>
      </c>
      <c r="Q22" s="477">
        <f t="shared" ref="Q22:Q30" ca="1" si="17">SUM(B22:P22)</f>
        <v>10693.735258423649</v>
      </c>
    </row>
    <row r="23" spans="1:17">
      <c r="A23" s="477" t="s">
        <v>194</v>
      </c>
      <c r="B23" s="478">
        <f t="shared" ca="1" si="2"/>
        <v>98.844248768771337</v>
      </c>
      <c r="C23" s="478"/>
      <c r="D23" s="478"/>
      <c r="E23" s="478"/>
      <c r="F23" s="478"/>
      <c r="G23" s="478"/>
      <c r="H23" s="478"/>
      <c r="I23" s="478"/>
      <c r="J23" s="478"/>
      <c r="K23" s="478"/>
      <c r="L23" s="478"/>
      <c r="M23" s="478"/>
      <c r="N23" s="478"/>
      <c r="O23" s="478"/>
      <c r="P23" s="479"/>
      <c r="Q23" s="477">
        <f t="shared" ca="1" si="17"/>
        <v>98.844248768771337</v>
      </c>
    </row>
    <row r="24" spans="1:17">
      <c r="A24" s="477" t="s">
        <v>112</v>
      </c>
      <c r="B24" s="478">
        <f t="shared" ca="1" si="2"/>
        <v>604.29405942339713</v>
      </c>
      <c r="C24" s="478">
        <f t="shared" ca="1" si="3"/>
        <v>0</v>
      </c>
      <c r="D24" s="478">
        <f t="shared" si="4"/>
        <v>488.60795575061445</v>
      </c>
      <c r="E24" s="478">
        <f t="shared" si="5"/>
        <v>34.623855287596051</v>
      </c>
      <c r="F24" s="478">
        <f t="shared" si="6"/>
        <v>5772.0454576831798</v>
      </c>
      <c r="G24" s="478">
        <f t="shared" si="7"/>
        <v>0</v>
      </c>
      <c r="H24" s="478">
        <f t="shared" si="8"/>
        <v>0</v>
      </c>
      <c r="I24" s="478">
        <f t="shared" si="9"/>
        <v>0</v>
      </c>
      <c r="J24" s="478">
        <f t="shared" si="10"/>
        <v>266.141209416702</v>
      </c>
      <c r="K24" s="478">
        <f t="shared" si="11"/>
        <v>0</v>
      </c>
      <c r="L24" s="478">
        <f t="shared" si="12"/>
        <v>0</v>
      </c>
      <c r="M24" s="478">
        <f t="shared" si="13"/>
        <v>0</v>
      </c>
      <c r="N24" s="478">
        <f t="shared" si="14"/>
        <v>0</v>
      </c>
      <c r="O24" s="478">
        <f t="shared" si="15"/>
        <v>0</v>
      </c>
      <c r="P24" s="479">
        <f t="shared" si="16"/>
        <v>0</v>
      </c>
      <c r="Q24" s="477">
        <f t="shared" ca="1" si="17"/>
        <v>7165.7125375614896</v>
      </c>
    </row>
    <row r="25" spans="1:17">
      <c r="A25" s="477" t="s">
        <v>635</v>
      </c>
      <c r="B25" s="478">
        <f t="shared" ca="1" si="2"/>
        <v>2331.7066165176784</v>
      </c>
      <c r="C25" s="478">
        <f t="shared" ca="1" si="3"/>
        <v>0</v>
      </c>
      <c r="D25" s="478">
        <f t="shared" si="4"/>
        <v>1840.1209677371846</v>
      </c>
      <c r="E25" s="478">
        <f t="shared" si="5"/>
        <v>560.64232977103961</v>
      </c>
      <c r="F25" s="478">
        <f t="shared" si="6"/>
        <v>1996.9482412640648</v>
      </c>
      <c r="G25" s="478">
        <f t="shared" si="7"/>
        <v>0</v>
      </c>
      <c r="H25" s="478">
        <f t="shared" si="8"/>
        <v>0</v>
      </c>
      <c r="I25" s="478">
        <f t="shared" si="9"/>
        <v>0</v>
      </c>
      <c r="J25" s="478">
        <f t="shared" si="10"/>
        <v>4.1513865613966443</v>
      </c>
      <c r="K25" s="478">
        <f t="shared" si="11"/>
        <v>0</v>
      </c>
      <c r="L25" s="478">
        <f t="shared" si="12"/>
        <v>0</v>
      </c>
      <c r="M25" s="478">
        <f t="shared" si="13"/>
        <v>0</v>
      </c>
      <c r="N25" s="478">
        <f t="shared" si="14"/>
        <v>0</v>
      </c>
      <c r="O25" s="478">
        <f t="shared" si="15"/>
        <v>0</v>
      </c>
      <c r="P25" s="479">
        <f t="shared" si="16"/>
        <v>0</v>
      </c>
      <c r="Q25" s="477">
        <f t="shared" ca="1" si="17"/>
        <v>6733.5695418513642</v>
      </c>
    </row>
    <row r="26" spans="1:17" s="483" customFormat="1">
      <c r="A26" s="481" t="s">
        <v>561</v>
      </c>
      <c r="B26" s="835">
        <f t="shared" ca="1" si="2"/>
        <v>3.6892180887467494</v>
      </c>
      <c r="C26" s="482"/>
      <c r="D26" s="482">
        <f t="shared" si="4"/>
        <v>21.799182698856836</v>
      </c>
      <c r="E26" s="482">
        <f t="shared" si="5"/>
        <v>36.263573041750973</v>
      </c>
      <c r="F26" s="482"/>
      <c r="G26" s="482">
        <f t="shared" si="7"/>
        <v>21240.763213106573</v>
      </c>
      <c r="H26" s="482">
        <f t="shared" si="8"/>
        <v>3091.3683741483883</v>
      </c>
      <c r="I26" s="482"/>
      <c r="J26" s="482"/>
      <c r="K26" s="482"/>
      <c r="L26" s="482"/>
      <c r="M26" s="482">
        <f t="shared" si="13"/>
        <v>0</v>
      </c>
      <c r="N26" s="482"/>
      <c r="O26" s="482"/>
      <c r="P26" s="493"/>
      <c r="Q26" s="481">
        <f t="shared" ca="1" si="17"/>
        <v>24393.883561084316</v>
      </c>
    </row>
    <row r="27" spans="1:17">
      <c r="A27" s="477" t="s">
        <v>551</v>
      </c>
      <c r="B27" s="478">
        <f t="shared" ca="1" si="2"/>
        <v>0</v>
      </c>
      <c r="C27" s="478"/>
      <c r="D27" s="482">
        <f t="shared" si="4"/>
        <v>0</v>
      </c>
      <c r="E27" s="478"/>
      <c r="F27" s="478"/>
      <c r="G27" s="478">
        <f t="shared" si="7"/>
        <v>191.98242362902897</v>
      </c>
      <c r="H27" s="478"/>
      <c r="I27" s="478"/>
      <c r="J27" s="478"/>
      <c r="K27" s="478"/>
      <c r="L27" s="478"/>
      <c r="M27" s="478">
        <f t="shared" si="13"/>
        <v>0</v>
      </c>
      <c r="N27" s="478"/>
      <c r="O27" s="478"/>
      <c r="P27" s="479"/>
      <c r="Q27" s="477">
        <f t="shared" ca="1" si="17"/>
        <v>191.98242362902897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10652.109641344183</v>
      </c>
      <c r="C31" s="488">
        <f t="shared" ca="1" si="18"/>
        <v>0</v>
      </c>
      <c r="D31" s="488">
        <f t="shared" ca="1" si="18"/>
        <v>17429.198453186076</v>
      </c>
      <c r="E31" s="488">
        <f t="shared" si="18"/>
        <v>1819.7856694566033</v>
      </c>
      <c r="F31" s="488">
        <f t="shared" ca="1" si="18"/>
        <v>12449.297613568287</v>
      </c>
      <c r="G31" s="488">
        <f t="shared" si="18"/>
        <v>21432.745636735603</v>
      </c>
      <c r="H31" s="488">
        <f t="shared" si="18"/>
        <v>3091.3683741483883</v>
      </c>
      <c r="I31" s="488">
        <f t="shared" si="18"/>
        <v>0</v>
      </c>
      <c r="J31" s="488">
        <f t="shared" si="18"/>
        <v>270.55854156714628</v>
      </c>
      <c r="K31" s="488">
        <f t="shared" si="18"/>
        <v>0</v>
      </c>
      <c r="L31" s="488">
        <f t="shared" ca="1" si="18"/>
        <v>0</v>
      </c>
      <c r="M31" s="488">
        <f t="shared" si="18"/>
        <v>0</v>
      </c>
      <c r="N31" s="488">
        <f t="shared" ca="1" si="18"/>
        <v>0</v>
      </c>
      <c r="O31" s="488">
        <f t="shared" si="18"/>
        <v>0</v>
      </c>
      <c r="P31" s="489">
        <f t="shared" si="18"/>
        <v>0</v>
      </c>
      <c r="Q31" s="489">
        <f t="shared" ca="1" si="18"/>
        <v>67145.06393000629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0.1164510679941463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0.1164510679941463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0.1164510679941463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5283</v>
      </c>
      <c r="C9" s="342">
        <v>5383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2462.5300000000002</v>
      </c>
    </row>
    <row r="15" spans="1:6">
      <c r="A15" s="348" t="s">
        <v>184</v>
      </c>
      <c r="B15" s="334">
        <v>4460</v>
      </c>
    </row>
    <row r="16" spans="1:6">
      <c r="A16" s="348" t="s">
        <v>6</v>
      </c>
      <c r="B16" s="334">
        <v>1588</v>
      </c>
    </row>
    <row r="17" spans="1:6">
      <c r="A17" s="348" t="s">
        <v>7</v>
      </c>
      <c r="B17" s="334">
        <v>151</v>
      </c>
    </row>
    <row r="18" spans="1:6">
      <c r="A18" s="348" t="s">
        <v>8</v>
      </c>
      <c r="B18" s="334">
        <v>805</v>
      </c>
    </row>
    <row r="19" spans="1:6">
      <c r="A19" s="348" t="s">
        <v>9</v>
      </c>
      <c r="B19" s="334">
        <v>719</v>
      </c>
    </row>
    <row r="20" spans="1:6">
      <c r="A20" s="348" t="s">
        <v>10</v>
      </c>
      <c r="B20" s="334">
        <v>413</v>
      </c>
    </row>
    <row r="21" spans="1:6">
      <c r="A21" s="348" t="s">
        <v>11</v>
      </c>
      <c r="B21" s="334">
        <v>19461</v>
      </c>
    </row>
    <row r="22" spans="1:6">
      <c r="A22" s="348" t="s">
        <v>12</v>
      </c>
      <c r="B22" s="334">
        <v>14688</v>
      </c>
    </row>
    <row r="23" spans="1:6">
      <c r="A23" s="348" t="s">
        <v>13</v>
      </c>
      <c r="B23" s="334">
        <v>1342</v>
      </c>
    </row>
    <row r="24" spans="1:6">
      <c r="A24" s="348" t="s">
        <v>14</v>
      </c>
      <c r="B24" s="334">
        <v>12</v>
      </c>
    </row>
    <row r="25" spans="1:6">
      <c r="A25" s="348" t="s">
        <v>15</v>
      </c>
      <c r="B25" s="334">
        <v>4784</v>
      </c>
    </row>
    <row r="26" spans="1:6">
      <c r="A26" s="348" t="s">
        <v>16</v>
      </c>
      <c r="B26" s="334">
        <v>5</v>
      </c>
    </row>
    <row r="27" spans="1:6">
      <c r="A27" s="348" t="s">
        <v>17</v>
      </c>
      <c r="B27" s="334">
        <v>1</v>
      </c>
    </row>
    <row r="28" spans="1:6" s="356" customFormat="1">
      <c r="A28" s="355" t="s">
        <v>18</v>
      </c>
      <c r="B28" s="355">
        <v>412108</v>
      </c>
    </row>
    <row r="29" spans="1:6">
      <c r="A29" s="355" t="s">
        <v>744</v>
      </c>
      <c r="B29" s="355">
        <v>73</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172975.50338274299</v>
      </c>
      <c r="E38" s="334">
        <v>1</v>
      </c>
      <c r="F38" s="334">
        <v>5687.5002489400003</v>
      </c>
    </row>
    <row r="39" spans="1:6">
      <c r="A39" s="348" t="s">
        <v>30</v>
      </c>
      <c r="B39" s="348" t="s">
        <v>31</v>
      </c>
      <c r="C39" s="334">
        <v>3800</v>
      </c>
      <c r="D39" s="334">
        <v>67850735.931860104</v>
      </c>
      <c r="E39" s="334">
        <v>5125</v>
      </c>
      <c r="F39" s="334">
        <v>17933848.139459699</v>
      </c>
    </row>
    <row r="40" spans="1:6">
      <c r="A40" s="348" t="s">
        <v>30</v>
      </c>
      <c r="B40" s="348" t="s">
        <v>29</v>
      </c>
      <c r="C40" s="334">
        <v>0</v>
      </c>
      <c r="D40" s="334">
        <v>0</v>
      </c>
      <c r="E40" s="334">
        <v>0</v>
      </c>
      <c r="F40" s="334">
        <v>0</v>
      </c>
    </row>
    <row r="41" spans="1:6">
      <c r="A41" s="348" t="s">
        <v>32</v>
      </c>
      <c r="B41" s="348" t="s">
        <v>33</v>
      </c>
      <c r="C41" s="334">
        <v>72</v>
      </c>
      <c r="D41" s="334">
        <v>1896651.3028511901</v>
      </c>
      <c r="E41" s="334">
        <v>157</v>
      </c>
      <c r="F41" s="334">
        <v>7604325.9833436403</v>
      </c>
    </row>
    <row r="42" spans="1:6">
      <c r="A42" s="348" t="s">
        <v>32</v>
      </c>
      <c r="B42" s="348" t="s">
        <v>34</v>
      </c>
      <c r="C42" s="334">
        <v>0</v>
      </c>
      <c r="D42" s="334">
        <v>0</v>
      </c>
      <c r="E42" s="334">
        <v>3</v>
      </c>
      <c r="F42" s="334">
        <v>274719.73848995502</v>
      </c>
    </row>
    <row r="43" spans="1:6">
      <c r="A43" s="348" t="s">
        <v>32</v>
      </c>
      <c r="B43" s="348" t="s">
        <v>35</v>
      </c>
      <c r="C43" s="334">
        <v>0</v>
      </c>
      <c r="D43" s="334">
        <v>0</v>
      </c>
      <c r="E43" s="334">
        <v>0</v>
      </c>
      <c r="F43" s="334">
        <v>0</v>
      </c>
    </row>
    <row r="44" spans="1:6">
      <c r="A44" s="348" t="s">
        <v>32</v>
      </c>
      <c r="B44" s="348" t="s">
        <v>36</v>
      </c>
      <c r="C44" s="334">
        <v>13</v>
      </c>
      <c r="D44" s="334">
        <v>4832198.5853392603</v>
      </c>
      <c r="E44" s="334">
        <v>25</v>
      </c>
      <c r="F44" s="334">
        <v>7181139.9525332898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1419239.74147361</v>
      </c>
    </row>
    <row r="48" spans="1:6">
      <c r="A48" s="348" t="s">
        <v>32</v>
      </c>
      <c r="B48" s="348" t="s">
        <v>29</v>
      </c>
      <c r="C48" s="334">
        <v>30</v>
      </c>
      <c r="D48" s="334">
        <v>2990152.9346274701</v>
      </c>
      <c r="E48" s="334">
        <v>27</v>
      </c>
      <c r="F48" s="334">
        <v>3214425.4345182702</v>
      </c>
    </row>
    <row r="49" spans="1:6">
      <c r="A49" s="348" t="s">
        <v>32</v>
      </c>
      <c r="B49" s="348" t="s">
        <v>40</v>
      </c>
      <c r="C49" s="334">
        <v>0</v>
      </c>
      <c r="D49" s="334">
        <v>0</v>
      </c>
      <c r="E49" s="334">
        <v>0</v>
      </c>
      <c r="F49" s="334">
        <v>0</v>
      </c>
    </row>
    <row r="50" spans="1:6">
      <c r="A50" s="348" t="s">
        <v>32</v>
      </c>
      <c r="B50" s="348" t="s">
        <v>41</v>
      </c>
      <c r="C50" s="334">
        <v>5</v>
      </c>
      <c r="D50" s="334">
        <v>380231.92360468401</v>
      </c>
      <c r="E50" s="334">
        <v>11</v>
      </c>
      <c r="F50" s="334">
        <v>329208.24803342199</v>
      </c>
    </row>
    <row r="51" spans="1:6">
      <c r="A51" s="348" t="s">
        <v>42</v>
      </c>
      <c r="B51" s="348" t="s">
        <v>43</v>
      </c>
      <c r="C51" s="334">
        <v>3</v>
      </c>
      <c r="D51" s="334">
        <v>1081004.41309664</v>
      </c>
      <c r="E51" s="334">
        <v>66</v>
      </c>
      <c r="F51" s="334">
        <v>5150730.0932403896</v>
      </c>
    </row>
    <row r="52" spans="1:6">
      <c r="A52" s="348" t="s">
        <v>42</v>
      </c>
      <c r="B52" s="348" t="s">
        <v>29</v>
      </c>
      <c r="C52" s="334">
        <v>6</v>
      </c>
      <c r="D52" s="334">
        <v>126542.752235269</v>
      </c>
      <c r="E52" s="334">
        <v>7</v>
      </c>
      <c r="F52" s="334">
        <v>38522.953831480299</v>
      </c>
    </row>
    <row r="53" spans="1:6">
      <c r="A53" s="348" t="s">
        <v>44</v>
      </c>
      <c r="B53" s="348" t="s">
        <v>45</v>
      </c>
      <c r="C53" s="334">
        <v>68</v>
      </c>
      <c r="D53" s="334">
        <v>1474106.12301859</v>
      </c>
      <c r="E53" s="334">
        <v>169</v>
      </c>
      <c r="F53" s="334">
        <v>1211683.93896462</v>
      </c>
    </row>
    <row r="54" spans="1:6">
      <c r="A54" s="348" t="s">
        <v>46</v>
      </c>
      <c r="B54" s="348" t="s">
        <v>47</v>
      </c>
      <c r="C54" s="334">
        <v>0</v>
      </c>
      <c r="D54" s="334">
        <v>0</v>
      </c>
      <c r="E54" s="334">
        <v>1</v>
      </c>
      <c r="F54" s="334">
        <v>848805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953305.12354517705</v>
      </c>
      <c r="E57" s="334">
        <v>93</v>
      </c>
      <c r="F57" s="334">
        <v>34306543.819338299</v>
      </c>
    </row>
    <row r="58" spans="1:6">
      <c r="A58" s="348" t="s">
        <v>49</v>
      </c>
      <c r="B58" s="348" t="s">
        <v>51</v>
      </c>
      <c r="C58" s="334">
        <v>16</v>
      </c>
      <c r="D58" s="334">
        <v>339391.59714776999</v>
      </c>
      <c r="E58" s="334">
        <v>20</v>
      </c>
      <c r="F58" s="334">
        <v>94979.2323604915</v>
      </c>
    </row>
    <row r="59" spans="1:6">
      <c r="A59" s="348" t="s">
        <v>49</v>
      </c>
      <c r="B59" s="348" t="s">
        <v>52</v>
      </c>
      <c r="C59" s="334">
        <v>75</v>
      </c>
      <c r="D59" s="334">
        <v>2094666.41784333</v>
      </c>
      <c r="E59" s="334">
        <v>129</v>
      </c>
      <c r="F59" s="334">
        <v>3010580.7663156702</v>
      </c>
    </row>
    <row r="60" spans="1:6">
      <c r="A60" s="348" t="s">
        <v>49</v>
      </c>
      <c r="B60" s="348" t="s">
        <v>53</v>
      </c>
      <c r="C60" s="334">
        <v>34</v>
      </c>
      <c r="D60" s="334">
        <v>1628618.30992741</v>
      </c>
      <c r="E60" s="334">
        <v>44</v>
      </c>
      <c r="F60" s="334">
        <v>1110340.71175617</v>
      </c>
    </row>
    <row r="61" spans="1:6">
      <c r="A61" s="348" t="s">
        <v>49</v>
      </c>
      <c r="B61" s="348" t="s">
        <v>54</v>
      </c>
      <c r="C61" s="334">
        <v>82</v>
      </c>
      <c r="D61" s="334">
        <v>5295582.6461319402</v>
      </c>
      <c r="E61" s="334">
        <v>145</v>
      </c>
      <c r="F61" s="334">
        <v>2620254.4082851601</v>
      </c>
    </row>
    <row r="62" spans="1:6">
      <c r="A62" s="348" t="s">
        <v>49</v>
      </c>
      <c r="B62" s="348" t="s">
        <v>55</v>
      </c>
      <c r="C62" s="334">
        <v>0</v>
      </c>
      <c r="D62" s="334">
        <v>0</v>
      </c>
      <c r="E62" s="334">
        <v>0</v>
      </c>
      <c r="F62" s="334">
        <v>0</v>
      </c>
    </row>
    <row r="63" spans="1:6">
      <c r="A63" s="348" t="s">
        <v>49</v>
      </c>
      <c r="B63" s="348" t="s">
        <v>29</v>
      </c>
      <c r="C63" s="334">
        <v>85</v>
      </c>
      <c r="D63" s="334">
        <v>4594776.3659363901</v>
      </c>
      <c r="E63" s="334">
        <v>81</v>
      </c>
      <c r="F63" s="334">
        <v>2724785.8682238399</v>
      </c>
    </row>
    <row r="64" spans="1:6">
      <c r="A64" s="348" t="s">
        <v>56</v>
      </c>
      <c r="B64" s="348" t="s">
        <v>57</v>
      </c>
      <c r="C64" s="334">
        <v>0</v>
      </c>
      <c r="D64" s="334">
        <v>0</v>
      </c>
      <c r="E64" s="334">
        <v>0</v>
      </c>
      <c r="F64" s="334">
        <v>0</v>
      </c>
    </row>
    <row r="65" spans="1:6">
      <c r="A65" s="348" t="s">
        <v>56</v>
      </c>
      <c r="B65" s="348" t="s">
        <v>29</v>
      </c>
      <c r="C65" s="334">
        <v>2</v>
      </c>
      <c r="D65" s="334">
        <v>86766.620022301999</v>
      </c>
      <c r="E65" s="334">
        <v>0</v>
      </c>
      <c r="F65" s="334">
        <v>0</v>
      </c>
    </row>
    <row r="66" spans="1:6">
      <c r="A66" s="348" t="s">
        <v>56</v>
      </c>
      <c r="B66" s="348" t="s">
        <v>58</v>
      </c>
      <c r="C66" s="334">
        <v>0</v>
      </c>
      <c r="D66" s="334">
        <v>0</v>
      </c>
      <c r="E66" s="334">
        <v>5</v>
      </c>
      <c r="F66" s="334">
        <v>14074.2179690672</v>
      </c>
    </row>
    <row r="67" spans="1:6">
      <c r="A67" s="355" t="s">
        <v>56</v>
      </c>
      <c r="B67" s="355" t="s">
        <v>59</v>
      </c>
      <c r="C67" s="334">
        <v>0</v>
      </c>
      <c r="D67" s="334">
        <v>0</v>
      </c>
      <c r="E67" s="334">
        <v>0</v>
      </c>
      <c r="F67" s="334">
        <v>0</v>
      </c>
    </row>
    <row r="68" spans="1:6">
      <c r="A68" s="341" t="s">
        <v>56</v>
      </c>
      <c r="B68" s="341" t="s">
        <v>60</v>
      </c>
      <c r="C68" s="334">
        <v>6</v>
      </c>
      <c r="D68" s="334">
        <v>177948.251971966</v>
      </c>
      <c r="E68" s="334">
        <v>15</v>
      </c>
      <c r="F68" s="334">
        <v>246229.44027826001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32727042</v>
      </c>
      <c r="E73" s="476">
        <v>33243924.379972544</v>
      </c>
    </row>
    <row r="74" spans="1:6">
      <c r="A74" s="348" t="s">
        <v>64</v>
      </c>
      <c r="B74" s="348" t="s">
        <v>657</v>
      </c>
      <c r="C74" s="1272" t="s">
        <v>659</v>
      </c>
      <c r="D74" s="476">
        <v>1729233.8273438918</v>
      </c>
      <c r="E74" s="476">
        <v>1780072.2678093137</v>
      </c>
    </row>
    <row r="75" spans="1:6">
      <c r="A75" s="348" t="s">
        <v>65</v>
      </c>
      <c r="B75" s="348" t="s">
        <v>656</v>
      </c>
      <c r="C75" s="1272" t="s">
        <v>660</v>
      </c>
      <c r="D75" s="476">
        <v>11921356</v>
      </c>
      <c r="E75" s="476">
        <v>12109644.604267571</v>
      </c>
    </row>
    <row r="76" spans="1:6">
      <c r="A76" s="348" t="s">
        <v>65</v>
      </c>
      <c r="B76" s="348" t="s">
        <v>657</v>
      </c>
      <c r="C76" s="1272" t="s">
        <v>661</v>
      </c>
      <c r="D76" s="476">
        <v>498263.82734389184</v>
      </c>
      <c r="E76" s="476">
        <v>515198.96097232873</v>
      </c>
    </row>
    <row r="77" spans="1:6">
      <c r="A77" s="348" t="s">
        <v>66</v>
      </c>
      <c r="B77" s="348" t="s">
        <v>656</v>
      </c>
      <c r="C77" s="1272" t="s">
        <v>662</v>
      </c>
      <c r="D77" s="476">
        <v>35880701</v>
      </c>
      <c r="E77" s="476">
        <v>36696218.266886428</v>
      </c>
    </row>
    <row r="78" spans="1:6">
      <c r="A78" s="341" t="s">
        <v>66</v>
      </c>
      <c r="B78" s="341" t="s">
        <v>657</v>
      </c>
      <c r="C78" s="341" t="s">
        <v>663</v>
      </c>
      <c r="D78" s="1273">
        <v>13986760</v>
      </c>
      <c r="E78" s="1273">
        <v>13994423.791228754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206090.34531221635</v>
      </c>
      <c r="C83" s="476">
        <v>206997.39786305782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3961.4131571063949</v>
      </c>
    </row>
    <row r="91" spans="1:6">
      <c r="A91" s="348" t="s">
        <v>68</v>
      </c>
      <c r="B91" s="334">
        <v>3578.7071834615854</v>
      </c>
    </row>
    <row r="92" spans="1:6">
      <c r="A92" s="341" t="s">
        <v>69</v>
      </c>
      <c r="B92" s="342">
        <v>4935.1262111704018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34</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5</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91472.837689042368</v>
      </c>
      <c r="C3" s="43" t="s">
        <v>170</v>
      </c>
      <c r="D3" s="43"/>
      <c r="E3" s="154"/>
      <c r="F3" s="43"/>
      <c r="G3" s="43"/>
      <c r="H3" s="43"/>
      <c r="I3" s="43"/>
      <c r="J3" s="43"/>
      <c r="K3" s="96"/>
    </row>
    <row r="4" spans="1:11">
      <c r="A4" s="383" t="s">
        <v>171</v>
      </c>
      <c r="B4" s="49">
        <f>IF(ISERROR('SEAP template'!B69),0,'SEAP template'!B69)</f>
        <v>43273.246551738383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0.1164510679941463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43997.142857142855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848.80499999999995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848.80499999999995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0.1164510679941463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98.844248768771337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17933.8481394597</v>
      </c>
      <c r="C5" s="17">
        <f>IF(ISERROR('Eigen informatie GS &amp; warmtenet'!B57),0,'Eigen informatie GS &amp; warmtenet'!B57)</f>
        <v>0</v>
      </c>
      <c r="D5" s="30">
        <f>(SUM(HH_hh_gas_kWh,HH_rest_gas_kWh)/1000)*0.902</f>
        <v>61201.36381053782</v>
      </c>
      <c r="E5" s="17">
        <f>B46*B57</f>
        <v>5034.7633651233127</v>
      </c>
      <c r="F5" s="17">
        <f>B51*B62</f>
        <v>6953.5937919052167</v>
      </c>
      <c r="G5" s="18"/>
      <c r="H5" s="17"/>
      <c r="I5" s="17"/>
      <c r="J5" s="17">
        <f>B50*B61+C50*C61</f>
        <v>0</v>
      </c>
      <c r="K5" s="17"/>
      <c r="L5" s="17"/>
      <c r="M5" s="17"/>
      <c r="N5" s="17">
        <f>B48*B59+C48*C59</f>
        <v>29256.931158110958</v>
      </c>
      <c r="O5" s="17">
        <f>B69*B70*B71</f>
        <v>314.23</v>
      </c>
      <c r="P5" s="17">
        <f>B77*B78*B79/1000-B77*B78*B79/1000/B80</f>
        <v>1124.9333333333334</v>
      </c>
    </row>
    <row r="6" spans="1:16">
      <c r="A6" s="16" t="s">
        <v>621</v>
      </c>
      <c r="B6" s="843">
        <f>kWh_PV_kleiner_dan_10kW</f>
        <v>3578.7071834615854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21512.555322921286</v>
      </c>
      <c r="C8" s="21">
        <f>C5</f>
        <v>0</v>
      </c>
      <c r="D8" s="21">
        <f>D5</f>
        <v>61201.36381053782</v>
      </c>
      <c r="E8" s="21">
        <f>E5</f>
        <v>5034.7633651233127</v>
      </c>
      <c r="F8" s="21">
        <f>F5</f>
        <v>6953.5937919052167</v>
      </c>
      <c r="G8" s="21"/>
      <c r="H8" s="21"/>
      <c r="I8" s="21"/>
      <c r="J8" s="21">
        <f>J5</f>
        <v>0</v>
      </c>
      <c r="K8" s="21"/>
      <c r="L8" s="21">
        <f>L5</f>
        <v>0</v>
      </c>
      <c r="M8" s="21">
        <f>M5</f>
        <v>0</v>
      </c>
      <c r="N8" s="21">
        <f>N5</f>
        <v>29256.931158110958</v>
      </c>
      <c r="O8" s="21">
        <f>O5</f>
        <v>314.23</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0.1164510679941463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2505.1600426373407</v>
      </c>
      <c r="C12" s="23">
        <f ca="1">C10*C8</f>
        <v>0</v>
      </c>
      <c r="D12" s="23">
        <f>D8*D10</f>
        <v>12362.675489728641</v>
      </c>
      <c r="E12" s="23">
        <f>E10*E8</f>
        <v>1142.891283882992</v>
      </c>
      <c r="F12" s="23">
        <f>F10*F8</f>
        <v>1856.6095424386929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5283</v>
      </c>
      <c r="C28" s="36"/>
      <c r="D28" s="228"/>
    </row>
    <row r="29" spans="1:7" s="15" customFormat="1">
      <c r="A29" s="230" t="s">
        <v>795</v>
      </c>
      <c r="B29" s="37">
        <f>SUM(HH_hh_gas_aantal,HH_rest_gas_aantal)</f>
        <v>3800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3800</v>
      </c>
      <c r="C32" s="167">
        <f>IF(ISERROR(B32/SUM($B$32,$B$34,$B$35,$B$36,$B$38,$B$39)*100),0,B32/SUM($B$32,$B$34,$B$35,$B$36,$B$38,$B$39)*100)</f>
        <v>72.741194486983147</v>
      </c>
      <c r="D32" s="233"/>
      <c r="G32" s="15"/>
    </row>
    <row r="33" spans="1:7">
      <c r="A33" s="171" t="s">
        <v>72</v>
      </c>
      <c r="B33" s="34" t="s">
        <v>111</v>
      </c>
      <c r="C33" s="167"/>
      <c r="D33" s="233"/>
      <c r="G33" s="15"/>
    </row>
    <row r="34" spans="1:7">
      <c r="A34" s="171" t="s">
        <v>73</v>
      </c>
      <c r="B34" s="33">
        <f>IF((($B$28-$B$32-$B$39-$B$77-$B$38)*C20/100)&lt;0,0,($B$28-$B$32-$B$39-$B$77-$B$38)*C20/100)</f>
        <v>237.78680738786284</v>
      </c>
      <c r="C34" s="167">
        <f>IF(ISERROR(B34/SUM($B$32,$B$34,$B$35,$B$36,$B$38,$B$39)*100),0,B34/SUM($B$32,$B$34,$B$35,$B$36,$B$38,$B$39)*100)</f>
        <v>4.5518148427998248</v>
      </c>
      <c r="D34" s="233"/>
      <c r="G34" s="15"/>
    </row>
    <row r="35" spans="1:7">
      <c r="A35" s="171" t="s">
        <v>74</v>
      </c>
      <c r="B35" s="33">
        <f>IF((($B$28-$B$32-$B$39-$B$77-$B$38)*C21/100)&lt;0,0,($B$28-$B$32-$B$39-$B$77-$B$38)*C21/100)</f>
        <v>512.15620052770453</v>
      </c>
      <c r="C35" s="167">
        <f>IF(ISERROR(B35/SUM($B$32,$B$34,$B$35,$B$36,$B$38,$B$39)*100),0,B35/SUM($B$32,$B$34,$B$35,$B$36,$B$38,$B$39)*100)</f>
        <v>9.8039088921842357</v>
      </c>
      <c r="D35" s="233"/>
      <c r="G35" s="15"/>
    </row>
    <row r="36" spans="1:7">
      <c r="A36" s="171" t="s">
        <v>75</v>
      </c>
      <c r="B36" s="33">
        <f>IF((($B$28-$B$32-$B$39-$B$77-$B$38)*C22/100)&lt;0,0,($B$28-$B$32-$B$39-$B$77-$B$38)*C22/100)</f>
        <v>405.45699208443278</v>
      </c>
      <c r="C36" s="167">
        <f>IF(ISERROR(B36/SUM($B$32,$B$34,$B$35,$B$36,$B$38,$B$39)*100),0,B36/SUM($B$32,$B$34,$B$35,$B$36,$B$38,$B$39)*100)</f>
        <v>7.761427872979187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268.59999999999991</v>
      </c>
      <c r="C39" s="167">
        <f>IF(ISERROR(B39/SUM($B$32,$B$34,$B$35,$B$36,$B$38,$B$39)*100),0,B39/SUM($B$32,$B$34,$B$35,$B$36,$B$38,$B$39)*100)</f>
        <v>5.1416539050535972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3800</v>
      </c>
      <c r="C44" s="34" t="s">
        <v>111</v>
      </c>
      <c r="D44" s="174"/>
    </row>
    <row r="45" spans="1:7">
      <c r="A45" s="171" t="s">
        <v>72</v>
      </c>
      <c r="B45" s="33" t="str">
        <f t="shared" si="0"/>
        <v>-</v>
      </c>
      <c r="C45" s="34" t="s">
        <v>111</v>
      </c>
      <c r="D45" s="174"/>
    </row>
    <row r="46" spans="1:7">
      <c r="A46" s="171" t="s">
        <v>73</v>
      </c>
      <c r="B46" s="33">
        <f t="shared" si="0"/>
        <v>237.78680738786284</v>
      </c>
      <c r="C46" s="34" t="s">
        <v>111</v>
      </c>
      <c r="D46" s="174"/>
    </row>
    <row r="47" spans="1:7">
      <c r="A47" s="171" t="s">
        <v>74</v>
      </c>
      <c r="B47" s="33">
        <f t="shared" si="0"/>
        <v>512.15620052770453</v>
      </c>
      <c r="C47" s="34" t="s">
        <v>111</v>
      </c>
      <c r="D47" s="174"/>
    </row>
    <row r="48" spans="1:7">
      <c r="A48" s="171" t="s">
        <v>75</v>
      </c>
      <c r="B48" s="33">
        <f t="shared" si="0"/>
        <v>405.45699208443278</v>
      </c>
      <c r="C48" s="33">
        <f>B48*10</f>
        <v>4054.569920844328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43867.48480627963</v>
      </c>
      <c r="C5" s="17">
        <f>IF(ISERROR('Eigen informatie GS &amp; warmtenet'!B58),0,'Eigen informatie GS &amp; warmtenet'!B58)</f>
        <v>0</v>
      </c>
      <c r="D5" s="30">
        <f>SUM(D6:D12)</f>
        <v>13445.519095399881</v>
      </c>
      <c r="E5" s="17">
        <f>SUM(E6:E12)</f>
        <v>199.84417389085729</v>
      </c>
      <c r="F5" s="17">
        <f>SUM(F6:F12)</f>
        <v>10575.634352742889</v>
      </c>
      <c r="G5" s="18"/>
      <c r="H5" s="17"/>
      <c r="I5" s="17"/>
      <c r="J5" s="17">
        <f>SUM(J6:J12)</f>
        <v>0.75125872612327393</v>
      </c>
      <c r="K5" s="17"/>
      <c r="L5" s="17"/>
      <c r="M5" s="17"/>
      <c r="N5" s="17">
        <f>SUM(N6:N12)</f>
        <v>29404.584919657955</v>
      </c>
      <c r="O5" s="17">
        <f>B38*B39*B40</f>
        <v>7.8166666666666664</v>
      </c>
      <c r="P5" s="17">
        <f>B46*B47*B48/1000-B46*B47*B48/1000/B49</f>
        <v>76.266666666666666</v>
      </c>
      <c r="R5" s="32"/>
    </row>
    <row r="6" spans="1:18">
      <c r="A6" s="32" t="s">
        <v>54</v>
      </c>
      <c r="B6" s="37">
        <f>B26</f>
        <v>2620.25440828516</v>
      </c>
      <c r="C6" s="33"/>
      <c r="D6" s="37">
        <f>IF(ISERROR(TER_kantoor_gas_kWh/1000),0,TER_kantoor_gas_kWh/1000)*0.902</f>
        <v>4776.6155468110101</v>
      </c>
      <c r="E6" s="33">
        <f>$C$26*'E Balans VL '!I12/100/3.6*1000000</f>
        <v>1.6422883148168203E-2</v>
      </c>
      <c r="F6" s="33">
        <f>$C$26*('E Balans VL '!L12+'E Balans VL '!N12)/100/3.6*1000000</f>
        <v>393.75102067412172</v>
      </c>
      <c r="G6" s="34"/>
      <c r="H6" s="33"/>
      <c r="I6" s="33"/>
      <c r="J6" s="33">
        <f>$C$26*('E Balans VL '!D12+'E Balans VL '!E12)/100/3.6*1000000</f>
        <v>0</v>
      </c>
      <c r="K6" s="33"/>
      <c r="L6" s="33"/>
      <c r="M6" s="33"/>
      <c r="N6" s="33">
        <f>$C$26*'E Balans VL '!Y12/100/3.6*1000000</f>
        <v>2.5058848461736294</v>
      </c>
      <c r="O6" s="33"/>
      <c r="P6" s="33"/>
      <c r="R6" s="32"/>
    </row>
    <row r="7" spans="1:18">
      <c r="A7" s="32" t="s">
        <v>53</v>
      </c>
      <c r="B7" s="37">
        <f t="shared" ref="B7:B12" si="0">B27</f>
        <v>1110.3407117561701</v>
      </c>
      <c r="C7" s="33"/>
      <c r="D7" s="37">
        <f>IF(ISERROR(TER_horeca_gas_kWh/1000),0,TER_horeca_gas_kWh/1000)*0.902</f>
        <v>1469.0137155545237</v>
      </c>
      <c r="E7" s="33">
        <f>$C$27*'E Balans VL '!I9/100/3.6*1000000</f>
        <v>15.899894044891896</v>
      </c>
      <c r="F7" s="33">
        <f>$C$27*('E Balans VL '!L9+'E Balans VL '!N9)/100/3.6*1000000</f>
        <v>140.60575455583924</v>
      </c>
      <c r="G7" s="34"/>
      <c r="H7" s="33"/>
      <c r="I7" s="33"/>
      <c r="J7" s="33">
        <f>$C$27*('E Balans VL '!D9+'E Balans VL '!E9)/100/3.6*1000000</f>
        <v>0</v>
      </c>
      <c r="K7" s="33"/>
      <c r="L7" s="33"/>
      <c r="M7" s="33"/>
      <c r="N7" s="33">
        <f>$C$27*'E Balans VL '!Y9/100/3.6*1000000</f>
        <v>0.31919847371863797</v>
      </c>
      <c r="O7" s="33"/>
      <c r="P7" s="33"/>
      <c r="R7" s="32"/>
    </row>
    <row r="8" spans="1:18">
      <c r="A8" s="6" t="s">
        <v>52</v>
      </c>
      <c r="B8" s="37">
        <f t="shared" si="0"/>
        <v>3010.5807663156702</v>
      </c>
      <c r="C8" s="33"/>
      <c r="D8" s="37">
        <f>IF(ISERROR(TER_handel_gas_kWh/1000),0,TER_handel_gas_kWh/1000)*0.902</f>
        <v>1889.3891088946834</v>
      </c>
      <c r="E8" s="33">
        <f>$C$28*'E Balans VL '!I13/100/3.6*1000000</f>
        <v>109.19339314608175</v>
      </c>
      <c r="F8" s="33">
        <f>$C$28*('E Balans VL '!L13+'E Balans VL '!N13)/100/3.6*1000000</f>
        <v>579.86833966077347</v>
      </c>
      <c r="G8" s="34"/>
      <c r="H8" s="33"/>
      <c r="I8" s="33"/>
      <c r="J8" s="33">
        <f>$C$28*('E Balans VL '!D13+'E Balans VL '!E13)/100/3.6*1000000</f>
        <v>0</v>
      </c>
      <c r="K8" s="33"/>
      <c r="L8" s="33"/>
      <c r="M8" s="33"/>
      <c r="N8" s="33">
        <f>$C$28*'E Balans VL '!Y13/100/3.6*1000000</f>
        <v>4.1703470650878707</v>
      </c>
      <c r="O8" s="33"/>
      <c r="P8" s="33"/>
      <c r="R8" s="32"/>
    </row>
    <row r="9" spans="1:18">
      <c r="A9" s="32" t="s">
        <v>51</v>
      </c>
      <c r="B9" s="37">
        <f t="shared" si="0"/>
        <v>94.979232360491494</v>
      </c>
      <c r="C9" s="33"/>
      <c r="D9" s="37">
        <f>IF(ISERROR(TER_gezond_gas_kWh/1000),0,TER_gezond_gas_kWh/1000)*0.902</f>
        <v>306.13122062728854</v>
      </c>
      <c r="E9" s="33">
        <f>$C$29*'E Balans VL '!I10/100/3.6*1000000</f>
        <v>5.9466376962719024E-3</v>
      </c>
      <c r="F9" s="33">
        <f>$C$29*('E Balans VL '!L10+'E Balans VL '!N10)/100/3.6*1000000</f>
        <v>14.1094541513731</v>
      </c>
      <c r="G9" s="34"/>
      <c r="H9" s="33"/>
      <c r="I9" s="33"/>
      <c r="J9" s="33">
        <f>$C$29*('E Balans VL '!D10+'E Balans VL '!E10)/100/3.6*1000000</f>
        <v>0</v>
      </c>
      <c r="K9" s="33"/>
      <c r="L9" s="33"/>
      <c r="M9" s="33"/>
      <c r="N9" s="33">
        <f>$C$29*'E Balans VL '!Y10/100/3.6*1000000</f>
        <v>1.4691479308646038</v>
      </c>
      <c r="O9" s="33"/>
      <c r="P9" s="33"/>
      <c r="R9" s="32"/>
    </row>
    <row r="10" spans="1:18">
      <c r="A10" s="32" t="s">
        <v>50</v>
      </c>
      <c r="B10" s="37">
        <f t="shared" si="0"/>
        <v>34306.543819338302</v>
      </c>
      <c r="C10" s="33"/>
      <c r="D10" s="37">
        <f>IF(ISERROR(TER_ander_gas_kWh/1000),0,TER_ander_gas_kWh/1000)*0.902</f>
        <v>859.88122143774967</v>
      </c>
      <c r="E10" s="33">
        <f>$C$30*'E Balans VL '!I14/100/3.6*1000000</f>
        <v>40.892174323917324</v>
      </c>
      <c r="F10" s="33">
        <f>$C$30*('E Balans VL '!L14+'E Balans VL '!N14)/100/3.6*1000000</f>
        <v>8976.117012287099</v>
      </c>
      <c r="G10" s="34"/>
      <c r="H10" s="33"/>
      <c r="I10" s="33"/>
      <c r="J10" s="33">
        <f>$C$30*('E Balans VL '!D14+'E Balans VL '!E14)/100/3.6*1000000</f>
        <v>0.74466058837926197</v>
      </c>
      <c r="K10" s="33"/>
      <c r="L10" s="33"/>
      <c r="M10" s="33"/>
      <c r="N10" s="33">
        <f>$C$30*'E Balans VL '!Y14/100/3.6*1000000</f>
        <v>29132.277542071191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2724.7858682238398</v>
      </c>
      <c r="C12" s="33"/>
      <c r="D12" s="37">
        <f>IF(ISERROR(TER_rest_gas_kWh/1000),0,TER_rest_gas_kWh/1000)*0.902</f>
        <v>4144.4882820746243</v>
      </c>
      <c r="E12" s="33">
        <f>$C$32*'E Balans VL '!I8/100/3.6*1000000</f>
        <v>33.836342855121885</v>
      </c>
      <c r="F12" s="33">
        <f>$C$32*('E Balans VL '!L8+'E Balans VL '!N8)/100/3.6*1000000</f>
        <v>471.1827714136835</v>
      </c>
      <c r="G12" s="34"/>
      <c r="H12" s="33"/>
      <c r="I12" s="33"/>
      <c r="J12" s="33">
        <f>$C$32*('E Balans VL '!D8+'E Balans VL '!E8)/100/3.6*1000000</f>
        <v>6.5981377440120009E-3</v>
      </c>
      <c r="K12" s="33"/>
      <c r="L12" s="33"/>
      <c r="M12" s="33"/>
      <c r="N12" s="33">
        <f>$C$32*'E Balans VL '!Y8/100/3.6*1000000</f>
        <v>263.84279927091836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43867.48480627963</v>
      </c>
      <c r="C16" s="21">
        <f t="shared" ca="1" si="1"/>
        <v>0</v>
      </c>
      <c r="D16" s="21">
        <f t="shared" ca="1" si="1"/>
        <v>13445.519095399881</v>
      </c>
      <c r="E16" s="21">
        <f t="shared" si="1"/>
        <v>199.84417389085729</v>
      </c>
      <c r="F16" s="21">
        <f t="shared" ca="1" si="1"/>
        <v>10575.634352742889</v>
      </c>
      <c r="G16" s="21">
        <f t="shared" si="1"/>
        <v>0</v>
      </c>
      <c r="H16" s="21">
        <f t="shared" si="1"/>
        <v>0</v>
      </c>
      <c r="I16" s="21">
        <f t="shared" si="1"/>
        <v>0</v>
      </c>
      <c r="J16" s="21">
        <f t="shared" si="1"/>
        <v>0.75125872612327393</v>
      </c>
      <c r="K16" s="21">
        <f t="shared" si="1"/>
        <v>0</v>
      </c>
      <c r="L16" s="21">
        <f t="shared" ca="1" si="1"/>
        <v>0</v>
      </c>
      <c r="M16" s="21">
        <f t="shared" si="1"/>
        <v>0</v>
      </c>
      <c r="N16" s="21">
        <f t="shared" ca="1" si="1"/>
        <v>29404.584919657955</v>
      </c>
      <c r="O16" s="21">
        <f>O5</f>
        <v>7.8166666666666664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0.1164510679941463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5108.415455908249</v>
      </c>
      <c r="C20" s="23">
        <f t="shared" ref="C20:P20" ca="1" si="2">C16*C18</f>
        <v>0</v>
      </c>
      <c r="D20" s="23">
        <f t="shared" ca="1" si="2"/>
        <v>2715.9948572707763</v>
      </c>
      <c r="E20" s="23">
        <f t="shared" si="2"/>
        <v>45.364627473224608</v>
      </c>
      <c r="F20" s="23">
        <f t="shared" ca="1" si="2"/>
        <v>2823.6943721823513</v>
      </c>
      <c r="G20" s="23">
        <f t="shared" si="2"/>
        <v>0</v>
      </c>
      <c r="H20" s="23">
        <f t="shared" si="2"/>
        <v>0</v>
      </c>
      <c r="I20" s="23">
        <f t="shared" si="2"/>
        <v>0</v>
      </c>
      <c r="J20" s="23">
        <f t="shared" si="2"/>
        <v>0.26594558904763899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2620.25440828516</v>
      </c>
      <c r="C26" s="39">
        <f>IF(ISERROR(B26*3.6/1000000/'E Balans VL '!Z12*100),0,B26*3.6/1000000/'E Balans VL '!Z12*100)</f>
        <v>5.5388027372882932E-2</v>
      </c>
      <c r="D26" s="237" t="s">
        <v>754</v>
      </c>
      <c r="F26" s="6"/>
    </row>
    <row r="27" spans="1:18">
      <c r="A27" s="231" t="s">
        <v>53</v>
      </c>
      <c r="B27" s="33">
        <f>IF(ISERROR(TER_horeca_ele_kWh/1000),0,TER_horeca_ele_kWh/1000)</f>
        <v>1110.3407117561701</v>
      </c>
      <c r="C27" s="39">
        <f>IF(ISERROR(B27*3.6/1000000/'E Balans VL '!Z9*100),0,B27*3.6/1000000/'E Balans VL '!Z9*100)</f>
        <v>8.7527744462628065E-2</v>
      </c>
      <c r="D27" s="237" t="s">
        <v>754</v>
      </c>
      <c r="F27" s="6"/>
    </row>
    <row r="28" spans="1:18">
      <c r="A28" s="171" t="s">
        <v>52</v>
      </c>
      <c r="B28" s="33">
        <f>IF(ISERROR(TER_handel_ele_kWh/1000),0,TER_handel_ele_kWh/1000)</f>
        <v>3010.5807663156702</v>
      </c>
      <c r="C28" s="39">
        <f>IF(ISERROR(B28*3.6/1000000/'E Balans VL '!Z13*100),0,B28*3.6/1000000/'E Balans VL '!Z13*100)</f>
        <v>8.7379217947839372E-2</v>
      </c>
      <c r="D28" s="237" t="s">
        <v>754</v>
      </c>
      <c r="F28" s="6"/>
    </row>
    <row r="29" spans="1:18">
      <c r="A29" s="231" t="s">
        <v>51</v>
      </c>
      <c r="B29" s="33">
        <f>IF(ISERROR(TER_gezond_ele_kWh/1000),0,TER_gezond_ele_kWh/1000)</f>
        <v>94.979232360491494</v>
      </c>
      <c r="C29" s="39">
        <f>IF(ISERROR(B29*3.6/1000000/'E Balans VL '!Z10*100),0,B29*3.6/1000000/'E Balans VL '!Z10*100)</f>
        <v>1.0002872767722529E-2</v>
      </c>
      <c r="D29" s="237" t="s">
        <v>754</v>
      </c>
      <c r="F29" s="6"/>
    </row>
    <row r="30" spans="1:18">
      <c r="A30" s="231" t="s">
        <v>50</v>
      </c>
      <c r="B30" s="33">
        <f>IF(ISERROR(TER_ander_ele_kWh/1000),0,TER_ander_ele_kWh/1000)</f>
        <v>34306.543819338302</v>
      </c>
      <c r="C30" s="39">
        <f>IF(ISERROR(B30*3.6/1000000/'E Balans VL '!Z14*100),0,B30*3.6/1000000/'E Balans VL '!Z14*100)</f>
        <v>2.5304581234586445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2724.7858682238398</v>
      </c>
      <c r="C32" s="39">
        <f>IF(ISERROR(B32*3.6/1000000/'E Balans VL '!Z8*100),0,B32*3.6/1000000/'E Balans VL '!Z8*100)</f>
        <v>2.2421370909897931E-2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20023.05909839219</v>
      </c>
      <c r="C5" s="17">
        <f>IF(ISERROR('Eigen informatie GS &amp; warmtenet'!B59),0,'Eigen informatie GS &amp; warmtenet'!B59)</f>
        <v>0</v>
      </c>
      <c r="D5" s="30">
        <f>SUM(D6:D15)</f>
        <v>9109.5097412731902</v>
      </c>
      <c r="E5" s="17">
        <f>SUM(E6:E15)</f>
        <v>2469.789998991364</v>
      </c>
      <c r="F5" s="17">
        <f>SUM(F6:F15)</f>
        <v>7479.2068961200921</v>
      </c>
      <c r="G5" s="18"/>
      <c r="H5" s="17"/>
      <c r="I5" s="17"/>
      <c r="J5" s="17">
        <f>SUM(J6:J15)</f>
        <v>11.727080681911424</v>
      </c>
      <c r="K5" s="17"/>
      <c r="L5" s="17"/>
      <c r="M5" s="17"/>
      <c r="N5" s="17">
        <f>SUM(N6:N15)</f>
        <v>7490.331907951635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7181.1399525332899</v>
      </c>
      <c r="C8" s="33"/>
      <c r="D8" s="37">
        <f>IF( ISERROR(IND_metaal_Gas_kWH/1000),0,IND_metaal_Gas_kWH/1000)*0.902</f>
        <v>4358.6431239760132</v>
      </c>
      <c r="E8" s="33">
        <f>C30*'E Balans VL '!I18/100/3.6*1000000</f>
        <v>66.023646252619585</v>
      </c>
      <c r="F8" s="33">
        <f>C30*'E Balans VL '!L18/100/3.6*1000000+C30*'E Balans VL '!N18/100/3.6*1000000</f>
        <v>673.3518431973888</v>
      </c>
      <c r="G8" s="34"/>
      <c r="H8" s="33"/>
      <c r="I8" s="33"/>
      <c r="J8" s="40">
        <f>C30*'E Balans VL '!D18/100/3.6*1000000+C30*'E Balans VL '!E18/100/3.6*1000000</f>
        <v>0</v>
      </c>
      <c r="K8" s="33"/>
      <c r="L8" s="33"/>
      <c r="M8" s="33"/>
      <c r="N8" s="33">
        <f>C30*'E Balans VL '!Y18/100/3.6*1000000</f>
        <v>102.45082875640482</v>
      </c>
      <c r="O8" s="33"/>
      <c r="P8" s="33"/>
      <c r="R8" s="32"/>
    </row>
    <row r="9" spans="1:18">
      <c r="A9" s="6" t="s">
        <v>33</v>
      </c>
      <c r="B9" s="37">
        <f t="shared" si="0"/>
        <v>7604.3259833436405</v>
      </c>
      <c r="C9" s="33"/>
      <c r="D9" s="37">
        <f>IF( ISERROR(IND_andere_gas_kWh/1000),0,IND_andere_gas_kWh/1000)*0.902</f>
        <v>1710.7794751717736</v>
      </c>
      <c r="E9" s="33">
        <f>C31*'E Balans VL '!I19/100/3.6*1000000</f>
        <v>2222.89252369717</v>
      </c>
      <c r="F9" s="33">
        <f>C31*'E Balans VL '!L19/100/3.6*1000000+C31*'E Balans VL '!N19/100/3.6*1000000</f>
        <v>6110.6515222045155</v>
      </c>
      <c r="G9" s="34"/>
      <c r="H9" s="33"/>
      <c r="I9" s="33"/>
      <c r="J9" s="40">
        <f>C31*'E Balans VL '!D19/100/3.6*1000000+C31*'E Balans VL '!E19/100/3.6*1000000</f>
        <v>0</v>
      </c>
      <c r="K9" s="33"/>
      <c r="L9" s="33"/>
      <c r="M9" s="33"/>
      <c r="N9" s="33">
        <f>C31*'E Balans VL '!Y19/100/3.6*1000000</f>
        <v>2512.5872396311606</v>
      </c>
      <c r="O9" s="33"/>
      <c r="P9" s="33"/>
      <c r="R9" s="32"/>
    </row>
    <row r="10" spans="1:18">
      <c r="A10" s="6" t="s">
        <v>41</v>
      </c>
      <c r="B10" s="37">
        <f t="shared" si="0"/>
        <v>329.20824803342197</v>
      </c>
      <c r="C10" s="33"/>
      <c r="D10" s="37">
        <f>IF( ISERROR(IND_voed_gas_kWh/1000),0,IND_voed_gas_kWh/1000)*0.902</f>
        <v>342.96919509142498</v>
      </c>
      <c r="E10" s="33">
        <f>C32*'E Balans VL '!I20/100/3.6*1000000</f>
        <v>0.6964451531490462</v>
      </c>
      <c r="F10" s="33">
        <f>C32*'E Balans VL '!L20/100/3.6*1000000+C32*'E Balans VL '!N20/100/3.6*1000000</f>
        <v>20.931396686329176</v>
      </c>
      <c r="G10" s="34"/>
      <c r="H10" s="33"/>
      <c r="I10" s="33"/>
      <c r="J10" s="40">
        <f>C32*'E Balans VL '!D20/100/3.6*1000000+C32*'E Balans VL '!E20/100/3.6*1000000</f>
        <v>0</v>
      </c>
      <c r="K10" s="33"/>
      <c r="L10" s="33"/>
      <c r="M10" s="33"/>
      <c r="N10" s="33">
        <f>C32*'E Balans VL '!Y20/100/3.6*1000000</f>
        <v>22.718617820678489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1419.2397414736101</v>
      </c>
      <c r="C13" s="33"/>
      <c r="D13" s="37">
        <f>IF( ISERROR(IND_papier_gas_kWh/1000),0,IND_papier_gas_kWh/1000)*0.902</f>
        <v>0</v>
      </c>
      <c r="E13" s="33">
        <f>C35*'E Balans VL '!I23/100/3.6*1000000</f>
        <v>2.0135766155418677</v>
      </c>
      <c r="F13" s="33">
        <f>C35*'E Balans VL '!L23/100/3.6*1000000+C35*'E Balans VL '!N23/100/3.6*1000000</f>
        <v>34.648978774878415</v>
      </c>
      <c r="G13" s="34"/>
      <c r="H13" s="33"/>
      <c r="I13" s="33"/>
      <c r="J13" s="40">
        <f>C35*'E Balans VL '!D23/100/3.6*1000000+C35*'E Balans VL '!E23/100/3.6*1000000</f>
        <v>0.21949875065355612</v>
      </c>
      <c r="K13" s="33"/>
      <c r="L13" s="33"/>
      <c r="M13" s="33"/>
      <c r="N13" s="33">
        <f>C35*'E Balans VL '!Y23/100/3.6*1000000</f>
        <v>4125.3939713412401</v>
      </c>
      <c r="O13" s="33"/>
      <c r="P13" s="33"/>
      <c r="R13" s="32"/>
    </row>
    <row r="14" spans="1:18">
      <c r="A14" s="6" t="s">
        <v>34</v>
      </c>
      <c r="B14" s="37">
        <f t="shared" si="0"/>
        <v>274.71973848995503</v>
      </c>
      <c r="C14" s="33"/>
      <c r="D14" s="37">
        <f>IF( ISERROR(IND_chemie_gas_kWh/1000),0,IND_chemie_gas_kWh/1000)*0.902</f>
        <v>0</v>
      </c>
      <c r="E14" s="33">
        <f>C36*'E Balans VL '!I24/100/3.6*1000000</f>
        <v>0.67628128379082508</v>
      </c>
      <c r="F14" s="33">
        <f>C36*'E Balans VL '!L24/100/3.6*1000000+C36*'E Balans VL '!N24/100/3.6*1000000</f>
        <v>2.9416860751511757</v>
      </c>
      <c r="G14" s="34"/>
      <c r="H14" s="33"/>
      <c r="I14" s="33"/>
      <c r="J14" s="40">
        <f>C36*'E Balans VL '!D24/100/3.6*1000000+C36*'E Balans VL '!E24/100/3.6*1000000</f>
        <v>0</v>
      </c>
      <c r="K14" s="33"/>
      <c r="L14" s="33"/>
      <c r="M14" s="33"/>
      <c r="N14" s="33">
        <f>C36*'E Balans VL '!Y24/100/3.6*1000000</f>
        <v>6.1351699125333914</v>
      </c>
      <c r="O14" s="33"/>
      <c r="P14" s="33"/>
      <c r="R14" s="32"/>
    </row>
    <row r="15" spans="1:18">
      <c r="A15" s="6" t="s">
        <v>270</v>
      </c>
      <c r="B15" s="37">
        <f t="shared" si="0"/>
        <v>3214.4254345182703</v>
      </c>
      <c r="C15" s="33"/>
      <c r="D15" s="37">
        <f>IF( ISERROR(IND_rest_gas_kWh/1000),0,IND_rest_gas_kWh/1000)*0.902</f>
        <v>2697.117947033978</v>
      </c>
      <c r="E15" s="33">
        <f>C37*'E Balans VL '!I15/100/3.6*1000000</f>
        <v>177.48752598909277</v>
      </c>
      <c r="F15" s="33">
        <f>C37*'E Balans VL '!L15/100/3.6*1000000+C37*'E Balans VL '!N15/100/3.6*1000000</f>
        <v>636.68146918182867</v>
      </c>
      <c r="G15" s="34"/>
      <c r="H15" s="33"/>
      <c r="I15" s="33"/>
      <c r="J15" s="40">
        <f>C37*'E Balans VL '!D15/100/3.6*1000000+C37*'E Balans VL '!E15/100/3.6*1000000</f>
        <v>11.507581931257867</v>
      </c>
      <c r="K15" s="33"/>
      <c r="L15" s="33"/>
      <c r="M15" s="33"/>
      <c r="N15" s="33">
        <f>C37*'E Balans VL '!Y15/100/3.6*1000000</f>
        <v>721.04608048961734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20023.05909839219</v>
      </c>
      <c r="C18" s="21">
        <f>C5+C16</f>
        <v>0</v>
      </c>
      <c r="D18" s="21">
        <f>MAX((D5+D16),0)</f>
        <v>9109.5097412731902</v>
      </c>
      <c r="E18" s="21">
        <f>MAX((E5+E16),0)</f>
        <v>2469.789998991364</v>
      </c>
      <c r="F18" s="21">
        <f>MAX((F5+F16),0)</f>
        <v>7479.2068961200921</v>
      </c>
      <c r="G18" s="21"/>
      <c r="H18" s="21"/>
      <c r="I18" s="21"/>
      <c r="J18" s="21">
        <f>MAX((J5+J16),0)</f>
        <v>11.727080681911424</v>
      </c>
      <c r="K18" s="21"/>
      <c r="L18" s="21">
        <f>MAX((L5+L16),0)</f>
        <v>0</v>
      </c>
      <c r="M18" s="21"/>
      <c r="N18" s="21">
        <f>MAX((N5+N16),0)</f>
        <v>7490.331907951635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0.1164510679941463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2331.7066165176784</v>
      </c>
      <c r="C22" s="23">
        <f ca="1">C18*C20</f>
        <v>0</v>
      </c>
      <c r="D22" s="23">
        <f>D18*D20</f>
        <v>1840.1209677371846</v>
      </c>
      <c r="E22" s="23">
        <f>E18*E20</f>
        <v>560.64232977103961</v>
      </c>
      <c r="F22" s="23">
        <f>F18*F20</f>
        <v>1996.9482412640648</v>
      </c>
      <c r="G22" s="23"/>
      <c r="H22" s="23"/>
      <c r="I22" s="23"/>
      <c r="J22" s="23">
        <f>J18*J20</f>
        <v>4.1513865613966443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7181.1399525332899</v>
      </c>
      <c r="C30" s="39">
        <f>IF(ISERROR(B30*3.6/1000000/'E Balans VL '!Z18*100),0,B30*3.6/1000000/'E Balans VL '!Z18*100)</f>
        <v>0.40697361475724153</v>
      </c>
      <c r="D30" s="237" t="s">
        <v>754</v>
      </c>
    </row>
    <row r="31" spans="1:18">
      <c r="A31" s="6" t="s">
        <v>33</v>
      </c>
      <c r="B31" s="37">
        <f>IF( ISERROR(IND_ander_ele_kWh/1000),0,IND_ander_ele_kWh/1000)</f>
        <v>7604.3259833436405</v>
      </c>
      <c r="C31" s="39">
        <f>IF(ISERROR(B31*3.6/1000000/'E Balans VL '!Z19*100),0,B31*3.6/1000000/'E Balans VL '!Z19*100)</f>
        <v>0.34490056274217273</v>
      </c>
      <c r="D31" s="237" t="s">
        <v>754</v>
      </c>
    </row>
    <row r="32" spans="1:18">
      <c r="A32" s="171" t="s">
        <v>41</v>
      </c>
      <c r="B32" s="37">
        <f>IF( ISERROR(IND_voed_ele_kWh/1000),0,IND_voed_ele_kWh/1000)</f>
        <v>329.20824803342197</v>
      </c>
      <c r="C32" s="39">
        <f>IF(ISERROR(B32*3.6/1000000/'E Balans VL '!Z20*100),0,B32*3.6/1000000/'E Balans VL '!Z20*100)</f>
        <v>1.0183905590932718E-2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1419.2397414736101</v>
      </c>
      <c r="C35" s="39">
        <f>IF(ISERROR(B35*3.6/1000000/'E Balans VL '!Z22*100),0,B35*3.6/1000000/'E Balans VL '!Z22*100)</f>
        <v>0.2552769497211349</v>
      </c>
      <c r="D35" s="237" t="s">
        <v>754</v>
      </c>
    </row>
    <row r="36" spans="1:5">
      <c r="A36" s="171" t="s">
        <v>34</v>
      </c>
      <c r="B36" s="37">
        <f>IF( ISERROR(IND_chemie_ele_kWh/1000),0,IND_chemie_ele_kWh/1000)</f>
        <v>274.71973848995503</v>
      </c>
      <c r="C36" s="39">
        <f>IF(ISERROR(B36*3.6/1000000/'E Balans VL '!Z24*100),0,B36*3.6/1000000/'E Balans VL '!Z24*100)</f>
        <v>8.3773105372011956E-3</v>
      </c>
      <c r="D36" s="237" t="s">
        <v>754</v>
      </c>
    </row>
    <row r="37" spans="1:5">
      <c r="A37" s="171" t="s">
        <v>270</v>
      </c>
      <c r="B37" s="37">
        <f>IF( ISERROR(IND_rest_ele_kWh/1000),0,IND_rest_ele_kWh/1000)</f>
        <v>3214.4254345182703</v>
      </c>
      <c r="C37" s="39">
        <f>IF(ISERROR(B37*3.6/1000000/'E Balans VL '!Z15*100),0,B37*3.6/1000000/'E Balans VL '!Z15*100)</f>
        <v>2.5478269258435191E-2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5189.2530470718693</v>
      </c>
      <c r="C5" s="17">
        <f>'Eigen informatie GS &amp; warmtenet'!B60</f>
        <v>0</v>
      </c>
      <c r="D5" s="30">
        <f>IF(ISERROR(SUM(LB_lb_gas_kWh,LB_rest_gas_kWh,onbekend_gas_kWh)/1000),0,SUM(LB_lb_gas_kWh,LB_rest_gas_kWh,onbekend_gas_kWh)/1000)*0.902</f>
        <v>2418.8512660921506</v>
      </c>
      <c r="E5" s="17">
        <f>B17*'E Balans VL '!I25/3.6*1000000/100</f>
        <v>152.52799686165662</v>
      </c>
      <c r="F5" s="17">
        <f>B17*('E Balans VL '!L25/3.6*1000000+'E Balans VL '!N25/3.6*1000000)/100</f>
        <v>21618.147781584943</v>
      </c>
      <c r="G5" s="18"/>
      <c r="H5" s="17"/>
      <c r="I5" s="17"/>
      <c r="J5" s="17">
        <f>('E Balans VL '!D25+'E Balans VL '!E25)/3.6*1000000*landbouw!B17/100</f>
        <v>751.81132603588139</v>
      </c>
      <c r="K5" s="17"/>
      <c r="L5" s="17">
        <f>L6*(-1)</f>
        <v>0</v>
      </c>
      <c r="M5" s="17"/>
      <c r="N5" s="17">
        <f>N6*(-1)</f>
        <v>87994.28571428571</v>
      </c>
      <c r="O5" s="17"/>
      <c r="P5" s="17"/>
      <c r="R5" s="32"/>
    </row>
    <row r="6" spans="1:18">
      <c r="A6" s="16" t="s">
        <v>488</v>
      </c>
      <c r="B6" s="17" t="s">
        <v>211</v>
      </c>
      <c r="C6" s="17">
        <f>'lokale energieproductie'!O91+'lokale energieproductie'!O60</f>
        <v>43997.142857142855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5189.2530470718693</v>
      </c>
      <c r="C8" s="21">
        <f>C5+C6</f>
        <v>43997.142857142855</v>
      </c>
      <c r="D8" s="21">
        <f>MAX((D5+D6),0)</f>
        <v>2418.8512660921506</v>
      </c>
      <c r="E8" s="21">
        <f>MAX((E5+E6),0)</f>
        <v>152.52799686165662</v>
      </c>
      <c r="F8" s="21">
        <f>MAX((F5+F6),0)</f>
        <v>21618.147781584943</v>
      </c>
      <c r="G8" s="21"/>
      <c r="H8" s="21"/>
      <c r="I8" s="21"/>
      <c r="J8" s="21">
        <f>MAX((J5+J6),0)</f>
        <v>751.81132603588139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0.1164510679941463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604.29405942339713</v>
      </c>
      <c r="C12" s="23">
        <f ca="1">C8*C10</f>
        <v>0</v>
      </c>
      <c r="D12" s="23">
        <f>D8*D10</f>
        <v>488.60795575061445</v>
      </c>
      <c r="E12" s="23">
        <f>E8*E10</f>
        <v>34.623855287596051</v>
      </c>
      <c r="F12" s="23">
        <f>F8*F10</f>
        <v>5772.0454576831798</v>
      </c>
      <c r="G12" s="23"/>
      <c r="H12" s="23"/>
      <c r="I12" s="23"/>
      <c r="J12" s="23">
        <f>J8*J10</f>
        <v>266.141209416702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0.7363712881644201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410.55499077790449</v>
      </c>
      <c r="C26" s="247">
        <f>B26*'GWP N2O_CH4'!B5</f>
        <v>8621.6548063359951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263.81958193929205</v>
      </c>
      <c r="C27" s="247">
        <f>B27*'GWP N2O_CH4'!B5</f>
        <v>5540.211220725133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8.9121012966101532</v>
      </c>
      <c r="C28" s="247">
        <f>B28*'GWP N2O_CH4'!B4</f>
        <v>2762.7514019491473</v>
      </c>
      <c r="D28" s="50"/>
    </row>
    <row r="29" spans="1:4">
      <c r="A29" s="41" t="s">
        <v>277</v>
      </c>
      <c r="B29" s="247">
        <f>B34*'ha_N2O bodem landbouw'!B4</f>
        <v>16.021812135321458</v>
      </c>
      <c r="C29" s="247">
        <f>B29*'GWP N2O_CH4'!B4</f>
        <v>4966.7617619496523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3.6561223156594456E-3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1.1404949175868365E-4</v>
      </c>
      <c r="C5" s="463" t="s">
        <v>211</v>
      </c>
      <c r="D5" s="448">
        <f>SUM(D6:D11)</f>
        <v>3.8850028572220101E-4</v>
      </c>
      <c r="E5" s="448">
        <f>SUM(E6:E11)</f>
        <v>5.7510512312909027E-4</v>
      </c>
      <c r="F5" s="461" t="s">
        <v>211</v>
      </c>
      <c r="G5" s="448">
        <f>SUM(G6:G11)</f>
        <v>0.28639231298570655</v>
      </c>
      <c r="H5" s="448">
        <f>SUM(H6:H11)</f>
        <v>4.4694482517808019E-2</v>
      </c>
      <c r="I5" s="463" t="s">
        <v>211</v>
      </c>
      <c r="J5" s="463" t="s">
        <v>211</v>
      </c>
      <c r="K5" s="463" t="s">
        <v>211</v>
      </c>
      <c r="L5" s="463" t="s">
        <v>211</v>
      </c>
      <c r="M5" s="448">
        <f>SUM(M6:M11)</f>
        <v>1.8059320451105934E-2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4.6349736346424217E-5</v>
      </c>
      <c r="C6" s="449"/>
      <c r="D6" s="962">
        <f>vkm_2011_GW_PW*SUMIFS(TableVerdeelsleutelVkm[CNG],TableVerdeelsleutelVkm[Voertuigtype],"Lichte voertuigen")*SUMIFS(TableECFTransport[EnergieConsumptieFactor (PJ per km)],TableECFTransport[Index],CONCATENATE($A6,"_CNG_CNG"))</f>
        <v>1.390226067103839E-4</v>
      </c>
      <c r="E6" s="962">
        <f>vkm_2011_GW_PW*SUMIFS(TableVerdeelsleutelVkm[LPG],TableVerdeelsleutelVkm[Voertuigtype],"Lichte voertuigen")*SUMIFS(TableECFTransport[EnergieConsumptieFactor (PJ per km)],TableECFTransport[Index],CONCATENATE($A6,"_LPG_LPG"))</f>
        <v>1.8992485037969074E-4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4.9105860017727494E-2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1.5809456187341281E-2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3.3382090676101618E-3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1.6227215119706817E-2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4.9448603912187622E-6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9.4826456911798645E-4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1.6883643425270834E-5</v>
      </c>
      <c r="C8" s="449"/>
      <c r="D8" s="451">
        <f>vkm_2011_NGW_PW*SUMIFS(TableVerdeelsleutelVkm[CNG],TableVerdeelsleutelVkm[Voertuigtype],"Lichte voertuigen")*SUMIFS(TableECFTransport[EnergieConsumptieFactor (PJ per km)],TableECFTransport[Index],CONCATENATE($A8,"_CNG_CNG"))</f>
        <v>9.0040691925233836E-5</v>
      </c>
      <c r="E8" s="451">
        <f>vkm_2011_NGW_PW*SUMIFS(TableVerdeelsleutelVkm[LPG],TableVerdeelsleutelVkm[Voertuigtype],"Lichte voertuigen")*SUMIFS(TableECFTransport[EnergieConsumptieFactor (PJ per km)],TableECFTransport[Index],CONCATENATE($A8,"_LPG_LPG"))</f>
        <v>1.1391984672850989E-4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2.744843104933881E-2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9.9503582802058458E-3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1.8989760671295633E-3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5.995428168652393E-3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1.7199297037554023E-6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3.5034973859286511E-4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5.0816111986988607E-5</v>
      </c>
      <c r="C10" s="449"/>
      <c r="D10" s="451">
        <f>vkm_2011_SW_PW*SUMIFS(TableVerdeelsleutelVkm[CNG],TableVerdeelsleutelVkm[Voertuigtype],"Lichte voertuigen")*SUMIFS(TableECFTransport[EnergieConsumptieFactor (PJ per km)],TableECFTransport[Index],CONCATENATE($A10,"_CNG_CNG"))</f>
        <v>1.5943698708658326E-4</v>
      </c>
      <c r="E10" s="451">
        <f>vkm_2011_SW_PW*SUMIFS(TableVerdeelsleutelVkm[LPG],TableVerdeelsleutelVkm[Voertuigtype],"Lichte voertuigen")*SUMIFS(TableECFTransport[EnergieConsumptieFactor (PJ per km)],TableECFTransport[Index],CONCATENATE($A10,"_LPG_LPG"))</f>
        <v>2.7126042602088963E-4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6.2526142791907838E-2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1.8886840024298381E-2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4.213631072077232E-3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0.12508923583837325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4.1163235867536391E-5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7.3098899365781241E-3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31.680414377412127</v>
      </c>
      <c r="C14" s="21"/>
      <c r="D14" s="21">
        <f t="shared" ref="D14:M14" si="0">((D5)*10^9/3600)+D12</f>
        <v>107.91674603394472</v>
      </c>
      <c r="E14" s="21">
        <f t="shared" si="0"/>
        <v>159.75142309141398</v>
      </c>
      <c r="F14" s="21"/>
      <c r="G14" s="21">
        <f t="shared" si="0"/>
        <v>79553.42027380738</v>
      </c>
      <c r="H14" s="21">
        <f t="shared" si="0"/>
        <v>12415.134032724451</v>
      </c>
      <c r="I14" s="21"/>
      <c r="J14" s="21"/>
      <c r="K14" s="21"/>
      <c r="L14" s="21"/>
      <c r="M14" s="21">
        <f t="shared" si="0"/>
        <v>5016.4779030849813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0.1164510679941463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3.6892180887467494</v>
      </c>
      <c r="C18" s="23"/>
      <c r="D18" s="23">
        <f t="shared" ref="D18:M18" si="1">D14*D16</f>
        <v>21.799182698856836</v>
      </c>
      <c r="E18" s="23">
        <f t="shared" si="1"/>
        <v>36.263573041750973</v>
      </c>
      <c r="F18" s="23"/>
      <c r="G18" s="23">
        <f t="shared" si="1"/>
        <v>21240.763213106573</v>
      </c>
      <c r="H18" s="23">
        <f t="shared" si="1"/>
        <v>3091.3683741483883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2.5885270601666826E-3</v>
      </c>
      <c r="H50" s="321">
        <f t="shared" si="2"/>
        <v>0</v>
      </c>
      <c r="I50" s="321">
        <f t="shared" si="2"/>
        <v>0</v>
      </c>
      <c r="J50" s="321">
        <f t="shared" si="2"/>
        <v>0</v>
      </c>
      <c r="K50" s="321">
        <f t="shared" si="2"/>
        <v>0</v>
      </c>
      <c r="L50" s="321">
        <f t="shared" si="2"/>
        <v>0</v>
      </c>
      <c r="M50" s="321">
        <f t="shared" si="2"/>
        <v>1.4701690976703696E-4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2.5885270601666826E-3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1.4701690976703696E-4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719.03529449074517</v>
      </c>
      <c r="H54" s="21">
        <f t="shared" si="3"/>
        <v>0</v>
      </c>
      <c r="I54" s="21">
        <f t="shared" si="3"/>
        <v>0</v>
      </c>
      <c r="J54" s="21">
        <f t="shared" si="3"/>
        <v>0</v>
      </c>
      <c r="K54" s="21">
        <f t="shared" si="3"/>
        <v>0</v>
      </c>
      <c r="L54" s="21">
        <f t="shared" si="3"/>
        <v>0</v>
      </c>
      <c r="M54" s="21">
        <f t="shared" si="3"/>
        <v>40.8380304908436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0.1164510679941463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191.98242362902897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3961.4131571063949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8513.8333946319872</v>
      </c>
      <c r="C6" s="1263"/>
      <c r="D6" s="1248"/>
      <c r="E6" s="1248"/>
      <c r="F6" s="1266"/>
      <c r="G6" s="1269"/>
      <c r="H6" s="1260"/>
      <c r="I6" s="1248"/>
      <c r="J6" s="1248"/>
      <c r="K6" s="1248"/>
      <c r="L6" s="1252"/>
      <c r="M6" s="575"/>
      <c r="N6" s="1226"/>
      <c r="O6" s="1227"/>
      <c r="Q6" s="573"/>
      <c r="R6" s="1214"/>
      <c r="S6" s="1214"/>
    </row>
    <row r="7" spans="1:19" s="563" customFormat="1">
      <c r="A7" s="576" t="s">
        <v>252</v>
      </c>
      <c r="B7" s="577">
        <f>N57</f>
        <v>30798</v>
      </c>
      <c r="C7" s="578">
        <f>B100</f>
        <v>0</v>
      </c>
      <c r="D7" s="579"/>
      <c r="E7" s="579">
        <f>E100</f>
        <v>0</v>
      </c>
      <c r="F7" s="580"/>
      <c r="G7" s="581"/>
      <c r="H7" s="579">
        <f>I100</f>
        <v>0</v>
      </c>
      <c r="I7" s="579">
        <f>G100+F100</f>
        <v>0</v>
      </c>
      <c r="J7" s="579">
        <f>H100+D100+C100</f>
        <v>36232.941176470587</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43273.246551738383</v>
      </c>
      <c r="C9" s="594">
        <f t="shared" ref="C9:L9" si="0">SUM(C7:C8)</f>
        <v>0</v>
      </c>
      <c r="D9" s="594">
        <f t="shared" si="0"/>
        <v>0</v>
      </c>
      <c r="E9" s="594">
        <f t="shared" si="0"/>
        <v>0</v>
      </c>
      <c r="F9" s="594">
        <f t="shared" si="0"/>
        <v>0</v>
      </c>
      <c r="G9" s="594">
        <f t="shared" si="0"/>
        <v>0</v>
      </c>
      <c r="H9" s="594">
        <f t="shared" si="0"/>
        <v>0</v>
      </c>
      <c r="I9" s="594">
        <f t="shared" si="0"/>
        <v>0</v>
      </c>
      <c r="J9" s="594">
        <f t="shared" si="0"/>
        <v>36232.941176470587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43997.142857142855</v>
      </c>
      <c r="C16" s="610">
        <f>B101</f>
        <v>0</v>
      </c>
      <c r="D16" s="611"/>
      <c r="E16" s="611">
        <f>E101</f>
        <v>0</v>
      </c>
      <c r="F16" s="612"/>
      <c r="G16" s="613"/>
      <c r="H16" s="610">
        <f>I101</f>
        <v>0</v>
      </c>
      <c r="I16" s="611">
        <f>G101+F101</f>
        <v>0</v>
      </c>
      <c r="J16" s="611">
        <f>H101+D101+C101</f>
        <v>51761.344537815123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43997.142857142855</v>
      </c>
      <c r="C19" s="593">
        <f>SUM(C16:C18)</f>
        <v>0</v>
      </c>
      <c r="D19" s="593">
        <f t="shared" ref="D19:M19" si="1">SUM(D16:D18)</f>
        <v>0</v>
      </c>
      <c r="E19" s="593">
        <f t="shared" si="1"/>
        <v>0</v>
      </c>
      <c r="F19" s="593">
        <f t="shared" si="1"/>
        <v>0</v>
      </c>
      <c r="G19" s="593">
        <f t="shared" si="1"/>
        <v>0</v>
      </c>
      <c r="H19" s="593">
        <f t="shared" si="1"/>
        <v>0</v>
      </c>
      <c r="I19" s="593">
        <f t="shared" si="1"/>
        <v>0</v>
      </c>
      <c r="J19" s="593">
        <f t="shared" si="1"/>
        <v>51761.344537815123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13001</v>
      </c>
      <c r="C27" s="851">
        <v>2370</v>
      </c>
      <c r="D27" s="672" t="s">
        <v>844</v>
      </c>
      <c r="E27" s="671" t="s">
        <v>845</v>
      </c>
      <c r="F27" s="671" t="s">
        <v>846</v>
      </c>
      <c r="G27" s="671" t="s">
        <v>847</v>
      </c>
      <c r="H27" s="671" t="s">
        <v>848</v>
      </c>
      <c r="I27" s="671" t="s">
        <v>845</v>
      </c>
      <c r="J27" s="850">
        <v>40813</v>
      </c>
      <c r="K27" s="850">
        <v>40150</v>
      </c>
      <c r="L27" s="671" t="s">
        <v>849</v>
      </c>
      <c r="M27" s="671">
        <v>3277</v>
      </c>
      <c r="N27" s="671">
        <v>14746.5</v>
      </c>
      <c r="O27" s="671">
        <v>21066.428571428572</v>
      </c>
      <c r="P27" s="671">
        <v>0</v>
      </c>
      <c r="Q27" s="671">
        <v>42132.857142857145</v>
      </c>
      <c r="R27" s="671">
        <v>0</v>
      </c>
      <c r="S27" s="671">
        <v>0</v>
      </c>
      <c r="T27" s="671">
        <v>0</v>
      </c>
      <c r="U27" s="671">
        <v>0</v>
      </c>
      <c r="V27" s="671">
        <v>0</v>
      </c>
      <c r="W27" s="671">
        <v>0</v>
      </c>
      <c r="X27" s="671">
        <v>10</v>
      </c>
      <c r="Y27" s="671" t="s">
        <v>112</v>
      </c>
      <c r="Z27" s="673" t="s">
        <v>112</v>
      </c>
    </row>
    <row r="28" spans="1:26" s="625" customFormat="1" ht="25.5">
      <c r="A28" s="624"/>
      <c r="B28" s="851">
        <v>13001</v>
      </c>
      <c r="C28" s="851">
        <v>2370</v>
      </c>
      <c r="D28" s="672" t="s">
        <v>850</v>
      </c>
      <c r="E28" s="671" t="s">
        <v>851</v>
      </c>
      <c r="F28" s="671" t="s">
        <v>852</v>
      </c>
      <c r="G28" s="671" t="s">
        <v>847</v>
      </c>
      <c r="H28" s="671" t="s">
        <v>848</v>
      </c>
      <c r="I28" s="671" t="s">
        <v>851</v>
      </c>
      <c r="J28" s="850">
        <v>41313</v>
      </c>
      <c r="K28" s="850">
        <v>41313</v>
      </c>
      <c r="L28" s="671" t="s">
        <v>849</v>
      </c>
      <c r="M28" s="671">
        <v>3567</v>
      </c>
      <c r="N28" s="671">
        <v>16051.5</v>
      </c>
      <c r="O28" s="671">
        <v>22930.714285714286</v>
      </c>
      <c r="P28" s="671">
        <v>0</v>
      </c>
      <c r="Q28" s="671">
        <v>45861.428571428572</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6844</v>
      </c>
      <c r="N57" s="629">
        <f>SUM(N27:N56)</f>
        <v>30798</v>
      </c>
      <c r="O57" s="629">
        <f t="shared" ref="O57:W57" si="2">SUM(O27:O56)</f>
        <v>43997.142857142855</v>
      </c>
      <c r="P57" s="629">
        <f t="shared" si="2"/>
        <v>0</v>
      </c>
      <c r="Q57" s="629">
        <f t="shared" si="2"/>
        <v>87994.28571428571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6844</v>
      </c>
      <c r="N60" s="634">
        <f t="shared" ref="N60:W60" si="4">SUMIF($Z$27:$Z$56,"landbouw",N27:N56)</f>
        <v>30798</v>
      </c>
      <c r="O60" s="634">
        <f t="shared" si="4"/>
        <v>43997.142857142855</v>
      </c>
      <c r="P60" s="634">
        <f t="shared" si="4"/>
        <v>0</v>
      </c>
      <c r="Q60" s="634">
        <f t="shared" si="4"/>
        <v>87994.28571428571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36232.941176470587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51761.344537815123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2019-01-01T21:17:29Z</dcterms:modified>
</cp:coreProperties>
</file>