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F16"/>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K31" s="1"/>
  <c r="J24"/>
  <c r="D28"/>
  <c r="D30"/>
  <c r="H25"/>
  <c r="H24"/>
  <c r="D21"/>
  <c r="F28"/>
  <c r="G22" i="14"/>
  <c r="P22" i="16"/>
  <c r="Q39" i="14" s="1"/>
  <c r="G11"/>
  <c r="J12" i="17"/>
  <c r="K48" i="14" s="1"/>
  <c r="Q13"/>
  <c r="B35" i="13"/>
  <c r="B47" s="1"/>
  <c r="J15" i="14"/>
  <c r="J23" s="1"/>
  <c r="P8" i="48"/>
  <c r="P25" s="1"/>
  <c r="D18" i="16"/>
  <c r="E13" i="14" s="1"/>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<sst xmlns="http://schemas.openxmlformats.org/spreadsheetml/2006/main" count="2099" uniqueCount="844">
  <si>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</si>
  <si>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</si>
  <si>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</si>
  <si>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</si>
  <si>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</si>
  <si>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</si>
  <si>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</si>
  <si>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</si>
  <si>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</si>
  <si>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</si>
  <si>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</si>
  <si>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</si>
  <si>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</si>
  <si>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</si>
  <si>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</si>
  <si>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</si>
  <si>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</si>
  <si>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</si>
  <si>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</si>
  <si>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</si>
  <si>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</si>
  <si>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</si>
  <si>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</si>
  <si>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</si>
  <si>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</si>
  <si>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</si>
  <si>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</si>
  <si>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</si>
  <si>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</si>
  <si>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</si>
  <si>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</si>
  <si>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</si>
  <si>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</si>
  <si>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</si>
  <si>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</si>
  <si>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</si>
  <si>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</si>
  <si>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</si>
  <si>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</si>
  <si>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</si>
  <si>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</si>
  <si>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</si>
  <si>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</si>
  <si>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</si>
  <si>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</si>
  <si>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</si>
  <si>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</si>
  <si>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</si>
  <si>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</si>
  <si>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</si>
  <si>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</si>
  <si>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</si>
  <si>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</si>
  <si>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</si>
  <si>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</si>
  <si>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</si>
  <si>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</si>
  <si>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</si>
  <si>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</si>
  <si>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</si>
  <si>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</si>
  <si>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</si>
  <si>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</si>
  <si>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</si>
  <si>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</si>
  <si>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</si>
  <si>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</si>
  <si>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</si>
  <si>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</si>
  <si>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</si>
  <si>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</si>
  <si>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</si>
  <si>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</si>
  <si>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</si>
  <si>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</si>
  <si>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</si>
  <si>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</si>
  <si>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</si>
  <si>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</si>
  <si>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</si>
  <si>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</si>
  <si>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</si>
  <si>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</si>
  <si>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</si>
  <si>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</si>
  <si>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</si>
  <si>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</si>
  <si>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</si>
  <si>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</si>
  <si>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</si>
  <si>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</si>
  <si>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</si>
  <si>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</si>
  <si>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</si>
  <si>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</si>
  <si>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</si>
  <si>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</si>
  <si>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</si>
  <si>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</si>
  <si>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</si>
  <si>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</si>
  <si>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</si>
  <si>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</si>
  <si>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</si>
  <si>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</si>
  <si>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</si>
  <si>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</si>
  <si>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</si>
  <si>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</si>
  <si>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</si>
  <si>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</si>
  <si>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</si>
  <si>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</si>
  <si>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</si>
  <si>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</si>
  <si>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</si>
  <si>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</si>
  <si>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</si>
  <si>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</si>
  <si>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</si>
  <si>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</si>
  <si>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</si>
  <si>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</si>
  <si>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</si>
  <si>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</si>
  <si>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</si>
  <si>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</si>
  <si>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</si>
  <si>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</si>
  <si>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</si>
  <si>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</si>
  <si>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</si>
  <si>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</si>
  <si>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</si>
  <si>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</si>
  <si>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</si>
  <si>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</si>
  <si>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</si>
  <si>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</si>
  <si>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</si>
  <si>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</si>
  <si>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</si>
  <si>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</si>
  <si>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</si>
  <si>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</si>
  <si>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</si>
  <si>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</si>
  <si>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</si>
  <si>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</si>
  <si>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</si>
  <si>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</si>
  <si>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</si>
  <si>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</si>
  <si>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</si>
  <si>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</si>
  <si>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</si>
  <si>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</si>
  <si>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</si>
  <si>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</si>
  <si>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</si>
  <si>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</si>
  <si>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</si>
  <si>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</si>
  <si>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</si>
  <si>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</si>
  <si>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</si>
  <si>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</si>
  <si>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</si>
  <si>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</si>
  <si>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</si>
  <si>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</si>
  <si>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</si>
  <si>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</si>
  <si>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</si>
  <si>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</si>
  <si>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</si>
  <si>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</si>
  <si>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</si>
  <si>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</si>
  <si>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</si>
  <si>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</si>
  <si>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</si>
  <si>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</si>
  <si>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</si>
  <si>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</si>
  <si>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</si>
  <si>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</si>
  <si>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</si>
  <si>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</si>
  <si>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</si>
  <si>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</si>
  <si>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</si>
  <si>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</si>
  <si>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</si>
  <si>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</si>
  <si>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</si>
  <si>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</si>
  <si>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</si>
  <si>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</si>
  <si>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</si>
  <si>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</si>
  <si>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</si>
  <si>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</si>
  <si>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</si>
  <si>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</si>
  <si>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</si>
  <si>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</si>
  <si>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</si>
  <si>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</si>
  <si>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</si>
  <si>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</si>
  <si>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</si>
  <si>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</si>
  <si>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</si>
  <si>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</si>
  <si>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</si>
  <si>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</si>
  <si>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</si>
  <si>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</si>
  <si>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</si>
  <si>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</si>
  <si>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</si>
  <si>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</si>
  <si>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</si>
  <si>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</si>
  <si>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</si>
  <si>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</si>
  <si>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</si>
  <si>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</si>
  <si>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</si>
  <si>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</si>
  <si>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</si>
  <si>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</si>
  <si>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</si>
  <si>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</si>
  <si>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</si>
  <si>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</si>
  <si>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</si>
  <si>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</si>
  <si>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</si>
  <si>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</si>
  <si>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</si>
  <si>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</si>
  <si>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</si>
  <si>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</si>
  <si>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</si>
  <si>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</si>
  <si>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</si>
  <si>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</si>
  <si>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</si>
  <si>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</si>
  <si>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</si>
  <si>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</si>
  <si>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</si>
  <si>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</si>
  <si>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</si>
  <si>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</si>
  <si>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</si>
  <si>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</si>
  <si>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</si>
  <si>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</si>
  <si>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</si>
  <si>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</si>
  <si>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</si>
  <si>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</si>
  <si>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</si>
  <si>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</si>
  <si>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</si>
  <si>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</si>
  <si>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</si>
  <si>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</si>
  <si>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</si>
  <si>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</si>
  <si>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</si>
  <si>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</si>
  <si>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</si>
  <si>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</si>
  <si>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</si>
  <si>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</si>
  <si>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</si>
  <si>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</si>
  <si>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</si>
  <si>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</si>
  <si>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</si>
  <si>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</si>
  <si>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</si>
  <si>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</si>
  <si>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</si>
  <si>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</si>
  <si>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</si>
  <si>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</si>
  <si>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</si>
  <si>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</si>
  <si>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</si>
  <si>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</si>
  <si>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</si>
  <si>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</si>
  <si>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</si>
  <si>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</si>
  <si>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</si>
  <si>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</si>
  <si>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</si>
  <si>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</si>
  <si>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</si>
  <si>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</si>
  <si>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</si>
  <si>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</si>
  <si>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</si>
  <si>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</si>
  <si>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</si>
  <si>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</si>
  <si>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</si>
  <si>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</si>
  <si>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</si>
  <si>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</si>
  <si>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</si>
  <si>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</si>
  <si>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</si>
  <si>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</si>
  <si>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</si>
  <si>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</si>
  <si>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</si>
  <si>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</si>
  <si>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</si>
  <si>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</si>
  <si>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</si>
  <si>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</si>
  <si>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</si>
  <si>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</si>
  <si>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</si>
  <si>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</si>
  <si>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</si>
  <si>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</si>
  <si>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</si>
  <si>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</si>
  <si>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</si>
  <si>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</si>
  <si>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</si>
  <si>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</si>
  <si>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</si>
  <si>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</si>
  <si>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</si>
  <si>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</si>
  <si>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</si>
  <si>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</si>
  <si>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</si>
  <si>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</si>
  <si>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</si>
  <si>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</si>
  <si>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</si>
  <si>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</si>
  <si>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</si>
  <si>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</si>
  <si>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</si>
  <si>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</si>
  <si>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</si>
  <si>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</si>
  <si>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</si>
  <si>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</si>
  <si>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</si>
  <si>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</si>
  <si>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</si>
  <si>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</si>
  <si>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</si>
  <si>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</si>
  <si>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</si>
  <si>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</si>
  <si>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</si>
  <si>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</si>
  <si>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</si>
  <si>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</si>
  <si>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</si>
  <si>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</si>
  <si>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</si>
  <si>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</si>
  <si>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</si>
  <si>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</si>
  <si>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</si>
  <si>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</si>
  <si>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</si>
  <si>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</si>
  <si>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</si>
  <si>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</si>
  <si>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</si>
  <si>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</si>
  <si>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</si>
  <si>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</si>
  <si>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</si>
  <si>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</si>
  <si>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</si>
  <si>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</si>
  <si>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</si>
  <si>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</si>
  <si>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</si>
  <si>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</si>
  <si>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</si>
  <si>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</si>
  <si>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</si>
  <si>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</si>
  <si>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</si>
  <si>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</si>
  <si>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</si>
  <si>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</si>
  <si>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</si>
  <si>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</si>
  <si>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</si>
  <si>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</si>
  <si>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</si>
  <si>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</si>
  <si>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</si>
  <si>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</si>
  <si>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</si>
  <si>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</si>
  <si>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</si>
  <si>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</si>
  <si>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</si>
  <si>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</si>
  <si>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</si>
  <si>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</si>
  <si>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</si>
  <si>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</si>
  <si>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</si>
  <si>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</si>
  <si>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</si>
  <si>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</si>
  <si>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</si>
  <si>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</si>
  <si>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</si>
  <si>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</si>
  <si>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</si>
  <si>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</si>
  <si>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</si>
  <si>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</si>
  <si>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</si>
  <si>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</si>
  <si>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</si>
  <si>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</si>
  <si>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</si>
  <si>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</si>
  <si>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</si>
  <si>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</si>
  <si>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</si>
  <si>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</si>
  <si>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</si>
  <si>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</si>
  <si>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</si>
  <si>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</si>
  <si>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</si>
  <si>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</si>
  <si>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</si>
  <si>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</si>
  <si>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</si>
  <si>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</si>
  <si>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</si>
  <si>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</si>
  <si>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</si>
  <si>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</si>
  <si>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</si>
  <si>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</si>
  <si>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</si>
  <si>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</si>
  <si>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</si>
  <si>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</si>
  <si>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</si>
  <si>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</si>
  <si>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</si>
  <si>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</si>
  <si>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</si>
  <si>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</si>
  <si>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</si>
  <si>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</si>
  <si>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</si>
  <si>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</si>
  <si>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</si>
  <si>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</si>
  <si>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</si>
  <si>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</si>
  <si>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</si>
  <si>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</si>
  <si>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</si>
  <si>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</si>
  <si>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</si>
  <si>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</si>
  <si>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</si>
  <si>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</si>
  <si>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</si>
  <si>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</si>
  <si>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</si>
  <si>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</si>
  <si>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</si>
  <si>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</si>
  <si>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</si>
  <si>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</si>
  <si>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</si>
  <si>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</si>
  <si>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</si>
  <si>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</si>
  <si>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</si>
  <si>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</si>
  <si>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</si>
  <si>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</si>
  <si>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</si>
  <si>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</si>
  <si>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</si>
  <si>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</si>
  <si>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</si>
  <si>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</si>
  <si>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</si>
  <si>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</si>
  <si>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</si>
  <si>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</si>
  <si>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</si>
  <si>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</si>
  <si>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</si>
  <si>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</si>
  <si>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</si>
  <si>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</si>
  <si>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</si>
  <si>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</si>
  <si>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</si>
  <si>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</si>
  <si>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</si>
  <si>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</si>
  <si>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</si>
  <si>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</si>
  <si>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</si>
  <si>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</si>
  <si>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</si>
  <si>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</si>
  <si>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</si>
  <si>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</si>
  <si>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</si>
  <si>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</si>
  <si>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</si>
  <si>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</si>
  <si>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</si>
  <si>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</si>
  <si>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</si>
  <si>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</si>
  <si>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</si>
  <si>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</si>
  <si>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</si>
  <si>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</si>
  <si>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</si>
  <si>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</si>
  <si>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</si>
  <si>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</si>
  <si>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</si>
  <si>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</si>
  <si>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</si>
  <si>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</si>
  <si>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</si>
  <si>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</si>
  <si>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</si>
  <si>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</si>
  <si>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</si>
  <si>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</si>
  <si>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</si>
  <si>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</si>
  <si>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</si>
  <si>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</si>
  <si>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</si>
  <si>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</si>
  <si>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</si>
  <si>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</si>
  <si>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</si>
  <si>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</si>
  <si>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</si>
  <si>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</si>
  <si>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</si>
  <si>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</si>
  <si>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</si>
  <si>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</si>
  <si>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</si>
  <si>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</si>
  <si>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</si>
  <si>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</si>
  <si>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</si>
  <si>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</si>
  <si>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</si>
  <si>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</si>
  <si>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</si>
  <si>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</si>
  <si>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</si>
  <si>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</si>
  <si>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</si>
  <si>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</si>
  <si>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</si>
  <si>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</si>
  <si>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</si>
  <si>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</si>
  <si>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</si>
  <si>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</si>
  <si>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</si>
  <si>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</si>
  <si>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</si>
  <si>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</si>
  <si>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</si>
  <si>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</si>
  <si>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</si>
  <si>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</si>
  <si>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</si>
  <si>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</si>
  <si>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</si>
  <si>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</si>
  <si>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</si>
  <si>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</si>
  <si>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</si>
  <si>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</si>
  <si>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</si>
  <si>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</si>
  <si>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</si>
  <si>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</si>
  <si>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</si>
  <si>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</si>
  <si>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</si>
  <si>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</si>
  <si>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</si>
  <si>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</si>
  <si>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</si>
  <si>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</si>
  <si>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</si>
  <si>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</si>
  <si>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</si>
  <si>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</si>
  <si>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</si>
  <si>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</si>
  <si>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</si>
  <si>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</si>
  <si>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</si>
  <si>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</si>
  <si>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</si>
  <si>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</si>
  <si>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</si>
  <si>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</si>
  <si>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</si>
  <si>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</si>
  <si>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</si>
  <si>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</si>
  <si>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</si>
  <si>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</si>
  <si>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</si>
  <si>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</si>
  <si>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</si>
  <si>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</si>
  <si>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</si>
  <si>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</si>
  <si>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</si>
  <si>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</si>
  <si>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</si>
  <si>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</si>
  <si>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</si>
  <si>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</si>
  <si>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</si>
  <si>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</si>
  <si>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</si>
  <si>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</si>
  <si>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</si>
  <si>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</si>
  <si>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</si>
  <si>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</si>
  <si>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</si>
  <si>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</si>
  <si>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</si>
  <si>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</si>
  <si>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</si>
  <si>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</si>
  <si>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</si>
  <si>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</si>
  <si>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</si>
  <si>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</si>
  <si>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</si>
  <si>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</si>
  <si>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</si>
  <si>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</si>
  <si>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</si>
  <si>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</si>
  <si>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</si>
  <si>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</si>
  <si>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</si>
  <si>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</si>
  <si>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</si>
  <si>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</si>
  <si>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</si>
  <si>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</si>
  <si>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</si>
  <si>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</si>
  <si>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</si>
  <si>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</si>
  <si>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</si>
  <si>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</si>
  <si>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</si>
  <si>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</si>
  <si>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</si>
  <si>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</si>
  <si>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</si>
  <si>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</si>
  <si>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</si>
  <si>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</si>
  <si>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</si>
  <si>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</si>
  <si>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</si>
  <si>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</si>
  <si>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</si>
  <si>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</si>
  <si>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</si>
  <si>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</si>
  <si>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</si>
  <si>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</si>
  <si>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</si>
  <si>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</si>
  <si>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</si>
  <si>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</si>
  <si>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</si>
  <si>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</si>
  <si>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</si>
  <si>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</si>
  <si>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</si>
  <si>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</si>
  <si>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</si>
  <si>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</si>
  <si>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</si>
  <si>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</si>
  <si>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</si>
  <si>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</si>
  <si>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</si>
  <si>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</si>
  <si>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</si>
  <si>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</si>
  <si>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</si>
  <si>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</si>
  <si>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</si>
  <si>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</si>
  <si>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</si>
  <si>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</si>
  <si>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</si>
  <si>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</si>
  <si>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</si>
  <si>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</si>
  <si>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</si>
  <si>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</si>
  <si>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</si>
  <si>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</si>
  <si>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</si>
  <si>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</si>
  <si>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</si>
  <si>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</si>
  <si>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</si>
  <si>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</si>
  <si>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</si>
  <si>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</si>
  <si>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</si>
  <si>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</si>
  <si>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</si>
  <si>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</si>
  <si>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</si>
  <si>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</si>
  <si>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</si>
  <si>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</si>
  <si>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</si>
  <si>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</si>
  <si>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</si>
  <si>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</si>
  <si>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</si>
  <si>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</si>
  <si>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</si>
  <si>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</si>
  <si>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</si>
  <si>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</si>
  <si>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</si>
  <si>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</si>
  <si>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</si>
  <si>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</si>
  <si>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</si>
  <si>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</si>
  <si>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</si>
  <si>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</si>
  <si>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</si>
  <si>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</si>
  <si>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</si>
  <si>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</si>
  <si>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</si>
  <si>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</si>
  <si>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</si>
  <si>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</si>
  <si>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</si>
  <si>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</si>
  <si>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</si>
  <si>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</si>
  <si>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</si>
  <si>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</si>
  <si>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</si>
  <si>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</si>
  <si>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</si>
  <si>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</si>
  <si>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</si>
  <si>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</si>
  <si>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</si>
  <si>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</si>
  <si>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</si>
  <si>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</si>
  <si>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</si>
  <si>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</si>
  <si>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</si>
  <si>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</si>
  <si>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</si>
  <si>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</si>
  <si>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</si>
  <si>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</si>
  <si>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</si>
  <si>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</si>
  <si>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</si>
  <si>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</si>
  <si>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</si>
  <si>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</si>
  <si>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</si>
  <si>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</si>
  <si>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</si>
  <si>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</si>
  <si>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</si>
  <si>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</si>
  <si>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</si>
  <si>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</si>
  <si>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</si>
  <si>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</si>
  <si>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</si>
  <si>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</si>
  <si>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</si>
  <si>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</si>
  <si>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</si>
  <si>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</si>
  <si>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</si>
  <si>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</si>
  <si>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</si>
  <si>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</si>
  <si>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</si>
  <si>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12040</t>
  </si>
  <si>
    <t>WILLEBROEK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</si>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</sst>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173288.12144195536</c:v>
                </c:pt>
                <c:pt idx="1">
                  <c:v>118940.22704931897</c:v>
                </c:pt>
                <c:pt idx="2">
                  <c:v>1584.825</c:v>
                </c:pt>
                <c:pt idx="3">
                  <c:v>5526.8614534047547</c:v>
                </c:pt>
                <c:pt idx="4">
                  <c:v>312490.26406488323</c:v>
                </c:pt>
                <c:pt idx="5">
                  <c:v>323079.98911945487</c:v>
                </c:pt>
                <c:pt idx="6">
                  <c:v>2139.1350078855926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68096"/>
        <c:axId val="183682176"/>
      </c:barChart>
      <c:catAx>
        <c:axId val="183668096"/>
        <c:scaling>
          <c:orientation val="minMax"/>
        </c:scaling>
        <c:axPos val="b"/>
        <c:numFmt formatCode="General" sourceLinked="0"/>
        <c:tickLblPos val="nextTo"/>
        <c:crossAx val="183682176"/>
        <c:crosses val="autoZero"/>
        <c:auto val="1"/>
        <c:lblAlgn val="ctr"/>
        <c:lblOffset val="100"/>
      </c:catAx>
      <c:valAx>
        <c:axId val="183682176"/>
        <c:scaling>
          <c:orientation val="minMax"/>
        </c:scaling>
        <c:axPos val="l"/>
        <c:majorGridlines>
          <c:spPr>
            <a:ln>
              <a:noFill/>
            </a:ln>
          </c:spPr>
        </c:majorGridlines>
        <c:numFmt formatCode="#,##0" sourceLinked="1"/>
        <c:tickLblPos val="nextTo"/>
        <c:crossAx val="183668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173288.12144195536</c:v>
                </c:pt>
                <c:pt idx="1">
                  <c:v>118940.22704931897</c:v>
                </c:pt>
                <c:pt idx="2">
                  <c:v>1584.825</c:v>
                </c:pt>
                <c:pt idx="3">
                  <c:v>5526.8614534047547</c:v>
                </c:pt>
                <c:pt idx="4">
                  <c:v>312490.26406488323</c:v>
                </c:pt>
                <c:pt idx="5">
                  <c:v>323079.98911945487</c:v>
                </c:pt>
                <c:pt idx="6">
                  <c:v>2139.1350078855926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31150.962119063897</c:v>
                </c:pt>
                <c:pt idx="1">
                  <c:v>22786.821338604754</c:v>
                </c:pt>
                <c:pt idx="2">
                  <c:v>291.34665611598894</c:v>
                </c:pt>
                <c:pt idx="3">
                  <c:v>1201.4696113076625</c:v>
                </c:pt>
                <c:pt idx="4">
                  <c:v>59388.918938591152</c:v>
                </c:pt>
                <c:pt idx="5">
                  <c:v>81021.209617870161</c:v>
                </c:pt>
                <c:pt idx="6">
                  <c:v>540.45366481778854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92544"/>
        <c:axId val="184094080"/>
      </c:barChart>
      <c:catAx>
        <c:axId val="184092544"/>
        <c:scaling>
          <c:orientation val="minMax"/>
        </c:scaling>
        <c:axPos val="b"/>
        <c:numFmt formatCode="General" sourceLinked="0"/>
        <c:tickLblPos val="nextTo"/>
        <c:crossAx val="184094080"/>
        <c:crosses val="autoZero"/>
        <c:auto val="1"/>
        <c:lblAlgn val="ctr"/>
        <c:lblOffset val="100"/>
      </c:catAx>
      <c:valAx>
        <c:axId val="184094080"/>
        <c:scaling>
          <c:orientation val="minMax"/>
        </c:scaling>
        <c:axPos val="l"/>
        <c:majorGridlines>
          <c:spPr>
            <a:ln>
              <a:noFill/>
            </a:ln>
          </c:spPr>
        </c:majorGridlines>
        <c:numFmt formatCode="#,##0" sourceLinked="1"/>
        <c:tickLblPos val="nextTo"/>
        <c:crossAx val="1840925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31150.962119063897</c:v>
                </c:pt>
                <c:pt idx="1">
                  <c:v>22786.821338604754</c:v>
                </c:pt>
                <c:pt idx="2">
                  <c:v>291.34665611598894</c:v>
                </c:pt>
                <c:pt idx="3">
                  <c:v>1201.4696113076625</c:v>
                </c:pt>
                <c:pt idx="4">
                  <c:v>59388.918938591152</c:v>
                </c:pt>
                <c:pt idx="5">
                  <c:v>81021.209617870161</c:v>
                </c:pt>
                <c:pt idx="6">
                  <c:v>540.45366481778854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12040</v>
      </c>
      <c r="B6" s="415"/>
      <c r="C6" s="416"/>
    </row>
    <row r="7" spans="1:7" s="413" customFormat="1" ht="15.75" customHeight="1">
      <c r="A7" s="417" t="str">
        <f>txtMunicipality</f>
        <v>WILLEBROEK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12040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10399</v>
      </c>
      <c r="C9" s="342">
        <v>10907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665.61</v>
      </c>
    </row>
    <row r="15" spans="1:6">
      <c r="A15" s="348" t="s">
        <v>184</v>
      </c>
      <c r="B15" s="334">
        <v>7</v>
      </c>
    </row>
    <row r="16" spans="1:6">
      <c r="A16" s="348" t="s">
        <v>6</v>
      </c>
      <c r="B16" s="334">
        <v>337</v>
      </c>
    </row>
    <row r="17" spans="1:6">
      <c r="A17" s="348" t="s">
        <v>7</v>
      </c>
      <c r="B17" s="334">
        <v>140</v>
      </c>
    </row>
    <row r="18" spans="1:6">
      <c r="A18" s="348" t="s">
        <v>8</v>
      </c>
      <c r="B18" s="334">
        <v>321</v>
      </c>
    </row>
    <row r="19" spans="1:6">
      <c r="A19" s="348" t="s">
        <v>9</v>
      </c>
      <c r="B19" s="334">
        <v>256</v>
      </c>
    </row>
    <row r="20" spans="1:6">
      <c r="A20" s="348" t="s">
        <v>10</v>
      </c>
      <c r="B20" s="334">
        <v>227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0</v>
      </c>
    </row>
    <row r="28" spans="1:6" s="356" customFormat="1">
      <c r="A28" s="355" t="s">
        <v>18</v>
      </c>
      <c r="B28" s="355">
        <v>0</v>
      </c>
    </row>
    <row r="29" spans="1:6">
      <c r="A29" s="355" t="s">
        <v>744</v>
      </c>
      <c r="B29" s="355">
        <v>2</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5477</v>
      </c>
    </row>
    <row r="37" spans="1:6">
      <c r="A37" s="348" t="s">
        <v>25</v>
      </c>
      <c r="B37" s="348" t="s">
        <v>28</v>
      </c>
      <c r="C37" s="334">
        <v>0</v>
      </c>
      <c r="D37" s="334">
        <v>0</v>
      </c>
      <c r="E37" s="334">
        <v>0</v>
      </c>
      <c r="F37" s="334">
        <v>0</v>
      </c>
    </row>
    <row r="38" spans="1:6">
      <c r="A38" s="348" t="s">
        <v>25</v>
      </c>
      <c r="B38" s="348" t="s">
        <v>29</v>
      </c>
      <c r="C38" s="334">
        <v>1</v>
      </c>
      <c r="D38" s="334">
        <v>12878.1699185532</v>
      </c>
      <c r="E38" s="334">
        <v>2</v>
      </c>
      <c r="F38" s="334">
        <v>35725.9316906526</v>
      </c>
    </row>
    <row r="39" spans="1:6">
      <c r="A39" s="348" t="s">
        <v>30</v>
      </c>
      <c r="B39" s="348" t="s">
        <v>31</v>
      </c>
      <c r="C39" s="334">
        <v>8878</v>
      </c>
      <c r="D39" s="334">
        <v>133183588.401559</v>
      </c>
      <c r="E39" s="334">
        <v>10385</v>
      </c>
      <c r="F39" s="334">
        <v>32554746.1231816</v>
      </c>
    </row>
    <row r="40" spans="1:6">
      <c r="A40" s="348" t="s">
        <v>30</v>
      </c>
      <c r="B40" s="348" t="s">
        <v>29</v>
      </c>
      <c r="C40" s="334">
        <v>0</v>
      </c>
      <c r="D40" s="334">
        <v>0</v>
      </c>
      <c r="E40" s="334">
        <v>0</v>
      </c>
      <c r="F40" s="334">
        <v>0</v>
      </c>
    </row>
    <row r="41" spans="1:6">
      <c r="A41" s="348" t="s">
        <v>32</v>
      </c>
      <c r="B41" s="348" t="s">
        <v>33</v>
      </c>
      <c r="C41" s="334">
        <v>75</v>
      </c>
      <c r="D41" s="334">
        <v>2420140.1392129301</v>
      </c>
      <c r="E41" s="334">
        <v>284</v>
      </c>
      <c r="F41" s="334">
        <v>2587284.0065838601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7595009.0180030102</v>
      </c>
      <c r="E44" s="334">
        <v>19</v>
      </c>
      <c r="F44" s="334">
        <v>2235406.95650168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98401.557888823794</v>
      </c>
      <c r="E47" s="334">
        <v>7</v>
      </c>
      <c r="F47" s="334">
        <v>168002.92772514999</v>
      </c>
    </row>
    <row r="48" spans="1:6">
      <c r="A48" s="348" t="s">
        <v>32</v>
      </c>
      <c r="B48" s="348" t="s">
        <v>29</v>
      </c>
      <c r="C48" s="334">
        <v>28</v>
      </c>
      <c r="D48" s="334">
        <v>205671670.86698499</v>
      </c>
      <c r="E48" s="334">
        <v>45</v>
      </c>
      <c r="F48" s="334">
        <v>72294752.638460904</v>
      </c>
    </row>
    <row r="49" spans="1:6">
      <c r="A49" s="348" t="s">
        <v>32</v>
      </c>
      <c r="B49" s="348" t="s">
        <v>40</v>
      </c>
      <c r="C49" s="334">
        <v>0</v>
      </c>
      <c r="D49" s="334">
        <v>0</v>
      </c>
      <c r="E49" s="334">
        <v>0</v>
      </c>
      <c r="F49" s="334">
        <v>0</v>
      </c>
    </row>
    <row r="50" spans="1:6">
      <c r="A50" s="348" t="s">
        <v>32</v>
      </c>
      <c r="B50" s="348" t="s">
        <v>41</v>
      </c>
      <c r="C50" s="334">
        <v>10</v>
      </c>
      <c r="D50" s="334">
        <v>802576.16586321697</v>
      </c>
      <c r="E50" s="334">
        <v>15</v>
      </c>
      <c r="F50" s="334">
        <v>538183.667138119</v>
      </c>
    </row>
    <row r="51" spans="1:6">
      <c r="A51" s="348" t="s">
        <v>42</v>
      </c>
      <c r="B51" s="348" t="s">
        <v>43</v>
      </c>
      <c r="C51" s="334">
        <v>0</v>
      </c>
      <c r="D51" s="334">
        <v>0</v>
      </c>
      <c r="E51" s="334">
        <v>22</v>
      </c>
      <c r="F51" s="334">
        <v>236116.255945168</v>
      </c>
    </row>
    <row r="52" spans="1:6">
      <c r="A52" s="348" t="s">
        <v>42</v>
      </c>
      <c r="B52" s="348" t="s">
        <v>29</v>
      </c>
      <c r="C52" s="334">
        <v>5</v>
      </c>
      <c r="D52" s="334">
        <v>128069.73682475599</v>
      </c>
      <c r="E52" s="334">
        <v>7</v>
      </c>
      <c r="F52" s="334">
        <v>72708.615669495106</v>
      </c>
    </row>
    <row r="53" spans="1:6">
      <c r="A53" s="348" t="s">
        <v>44</v>
      </c>
      <c r="B53" s="348" t="s">
        <v>45</v>
      </c>
      <c r="C53" s="334">
        <v>205</v>
      </c>
      <c r="D53" s="334">
        <v>4170898.6186296102</v>
      </c>
      <c r="E53" s="334">
        <v>375</v>
      </c>
      <c r="F53" s="334">
        <v>1339643.9990741699</v>
      </c>
    </row>
    <row r="54" spans="1:6">
      <c r="A54" s="348" t="s">
        <v>46</v>
      </c>
      <c r="B54" s="348" t="s">
        <v>47</v>
      </c>
      <c r="C54" s="334">
        <v>0</v>
      </c>
      <c r="D54" s="334">
        <v>0</v>
      </c>
      <c r="E54" s="334">
        <v>1</v>
      </c>
      <c r="F54" s="334">
        <v>1584825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1740566.93350789</v>
      </c>
      <c r="E57" s="334">
        <v>125</v>
      </c>
      <c r="F57" s="334">
        <v>3956872.5199411698</v>
      </c>
    </row>
    <row r="58" spans="1:6">
      <c r="A58" s="348" t="s">
        <v>49</v>
      </c>
      <c r="B58" s="348" t="s">
        <v>51</v>
      </c>
      <c r="C58" s="334">
        <v>56</v>
      </c>
      <c r="D58" s="334">
        <v>4198809.3262445303</v>
      </c>
      <c r="E58" s="334">
        <v>58</v>
      </c>
      <c r="F58" s="334">
        <v>1301621.73679537</v>
      </c>
    </row>
    <row r="59" spans="1:6">
      <c r="A59" s="348" t="s">
        <v>49</v>
      </c>
      <c r="B59" s="348" t="s">
        <v>52</v>
      </c>
      <c r="C59" s="334">
        <v>139</v>
      </c>
      <c r="D59" s="334">
        <v>11788933.424381999</v>
      </c>
      <c r="E59" s="334">
        <v>263</v>
      </c>
      <c r="F59" s="334">
        <v>18753494.188976198</v>
      </c>
    </row>
    <row r="60" spans="1:6">
      <c r="A60" s="348" t="s">
        <v>49</v>
      </c>
      <c r="B60" s="348" t="s">
        <v>53</v>
      </c>
      <c r="C60" s="334">
        <v>67</v>
      </c>
      <c r="D60" s="334">
        <v>2396496.9438732401</v>
      </c>
      <c r="E60" s="334">
        <v>83</v>
      </c>
      <c r="F60" s="334">
        <v>2088257.72190116</v>
      </c>
    </row>
    <row r="61" spans="1:6">
      <c r="A61" s="348" t="s">
        <v>49</v>
      </c>
      <c r="B61" s="348" t="s">
        <v>54</v>
      </c>
      <c r="C61" s="334">
        <v>295</v>
      </c>
      <c r="D61" s="334">
        <v>18500013.513038501</v>
      </c>
      <c r="E61" s="334">
        <v>464</v>
      </c>
      <c r="F61" s="334">
        <v>19846188.029382698</v>
      </c>
    </row>
    <row r="62" spans="1:6">
      <c r="A62" s="348" t="s">
        <v>49</v>
      </c>
      <c r="B62" s="348" t="s">
        <v>55</v>
      </c>
      <c r="C62" s="334">
        <v>10</v>
      </c>
      <c r="D62" s="334">
        <v>2331933.1241999799</v>
      </c>
      <c r="E62" s="334">
        <v>12</v>
      </c>
      <c r="F62" s="334">
        <v>302088.19020770502</v>
      </c>
    </row>
    <row r="63" spans="1:6">
      <c r="A63" s="348" t="s">
        <v>49</v>
      </c>
      <c r="B63" s="348" t="s">
        <v>29</v>
      </c>
      <c r="C63" s="334">
        <v>97</v>
      </c>
      <c r="D63" s="334">
        <v>12797793.9362348</v>
      </c>
      <c r="E63" s="334">
        <v>96</v>
      </c>
      <c r="F63" s="334">
        <v>9249585.9806817994</v>
      </c>
    </row>
    <row r="64" spans="1:6">
      <c r="A64" s="348" t="s">
        <v>56</v>
      </c>
      <c r="B64" s="348" t="s">
        <v>57</v>
      </c>
      <c r="C64" s="334">
        <v>0</v>
      </c>
      <c r="D64" s="334">
        <v>0</v>
      </c>
      <c r="E64" s="334">
        <v>0</v>
      </c>
      <c r="F64" s="334">
        <v>0</v>
      </c>
    </row>
    <row r="65" spans="1:6">
      <c r="A65" s="348" t="s">
        <v>56</v>
      </c>
      <c r="B65" s="348" t="s">
        <v>29</v>
      </c>
      <c r="C65" s="334">
        <v>1</v>
      </c>
      <c r="D65" s="334">
        <v>23078.496131856198</v>
      </c>
      <c r="E65" s="334">
        <v>3</v>
      </c>
      <c r="F65" s="334">
        <v>36817.698574300797</v>
      </c>
    </row>
    <row r="66" spans="1:6">
      <c r="A66" s="348" t="s">
        <v>56</v>
      </c>
      <c r="B66" s="348" t="s">
        <v>58</v>
      </c>
      <c r="C66" s="334">
        <v>0</v>
      </c>
      <c r="D66" s="334">
        <v>0</v>
      </c>
      <c r="E66" s="334">
        <v>8</v>
      </c>
      <c r="F66" s="334">
        <v>145389</v>
      </c>
    </row>
    <row r="67" spans="1:6">
      <c r="A67" s="355" t="s">
        <v>56</v>
      </c>
      <c r="B67" s="355" t="s">
        <v>59</v>
      </c>
      <c r="C67" s="334">
        <v>0</v>
      </c>
      <c r="D67" s="334">
        <v>0</v>
      </c>
      <c r="E67" s="334">
        <v>0</v>
      </c>
      <c r="F67" s="334">
        <v>0</v>
      </c>
    </row>
    <row r="68" spans="1:6">
      <c r="A68" s="341" t="s">
        <v>56</v>
      </c>
      <c r="B68" s="341" t="s">
        <v>60</v>
      </c>
      <c r="C68" s="334">
        <v>9</v>
      </c>
      <c r="D68" s="334">
        <v>295670.06880357797</v>
      </c>
      <c r="E68" s="334">
        <v>11</v>
      </c>
      <c r="F68" s="334">
        <v>2052643.9301175999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153771060</v>
      </c>
      <c r="E73" s="476">
        <v>154943120.00274974</v>
      </c>
    </row>
    <row r="74" spans="1:6">
      <c r="A74" s="348" t="s">
        <v>64</v>
      </c>
      <c r="B74" s="348" t="s">
        <v>657</v>
      </c>
      <c r="C74" s="1272" t="s">
        <v>659</v>
      </c>
      <c r="D74" s="476">
        <v>35056945.41751036</v>
      </c>
      <c r="E74" s="476">
        <v>29767546.336456668</v>
      </c>
    </row>
    <row r="75" spans="1:6">
      <c r="A75" s="348" t="s">
        <v>65</v>
      </c>
      <c r="B75" s="348" t="s">
        <v>656</v>
      </c>
      <c r="C75" s="1272" t="s">
        <v>660</v>
      </c>
      <c r="D75" s="476">
        <v>49148314</v>
      </c>
      <c r="E75" s="476">
        <v>49483461.925614484</v>
      </c>
    </row>
    <row r="76" spans="1:6">
      <c r="A76" s="348" t="s">
        <v>65</v>
      </c>
      <c r="B76" s="348" t="s">
        <v>657</v>
      </c>
      <c r="C76" s="1272" t="s">
        <v>661</v>
      </c>
      <c r="D76" s="476">
        <v>7490266.4175103633</v>
      </c>
      <c r="E76" s="476">
        <v>6332312.1984064262</v>
      </c>
    </row>
    <row r="77" spans="1:6">
      <c r="A77" s="348" t="s">
        <v>66</v>
      </c>
      <c r="B77" s="348" t="s">
        <v>656</v>
      </c>
      <c r="C77" s="1272" t="s">
        <v>662</v>
      </c>
      <c r="D77" s="476">
        <v>61473739</v>
      </c>
      <c r="E77" s="476">
        <v>61739409.280920476</v>
      </c>
    </row>
    <row r="78" spans="1:6">
      <c r="A78" s="341" t="s">
        <v>66</v>
      </c>
      <c r="B78" s="341" t="s">
        <v>657</v>
      </c>
      <c r="C78" s="341" t="s">
        <v>663</v>
      </c>
      <c r="D78" s="1273">
        <v>9130544</v>
      </c>
      <c r="E78" s="1273">
        <v>9301247.6175639089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580169.16497927345</v>
      </c>
      <c r="C83" s="476">
        <v>582722.6272495063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12917.651599259983</v>
      </c>
    </row>
    <row r="91" spans="1:6">
      <c r="A91" s="348" t="s">
        <v>68</v>
      </c>
      <c r="B91" s="334">
        <v>2888.9319772197473</v>
      </c>
    </row>
    <row r="92" spans="1:6">
      <c r="A92" s="341" t="s">
        <v>69</v>
      </c>
      <c r="B92" s="342">
        <v>12910.031365207878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6495</v>
      </c>
    </row>
    <row r="98" spans="1:6">
      <c r="A98" s="348" t="s">
        <v>72</v>
      </c>
      <c r="B98" s="334">
        <v>10</v>
      </c>
    </row>
    <row r="99" spans="1:6">
      <c r="A99" s="348" t="s">
        <v>73</v>
      </c>
      <c r="B99" s="334">
        <v>27</v>
      </c>
    </row>
    <row r="100" spans="1:6">
      <c r="A100" s="348" t="s">
        <v>74</v>
      </c>
      <c r="B100" s="334">
        <v>410</v>
      </c>
    </row>
    <row r="101" spans="1:6">
      <c r="A101" s="348" t="s">
        <v>75</v>
      </c>
      <c r="B101" s="334">
        <v>70</v>
      </c>
    </row>
    <row r="102" spans="1:6">
      <c r="A102" s="348" t="s">
        <v>76</v>
      </c>
      <c r="B102" s="334">
        <v>123</v>
      </c>
    </row>
    <row r="103" spans="1:6">
      <c r="A103" s="348" t="s">
        <v>77</v>
      </c>
      <c r="B103" s="334">
        <v>180</v>
      </c>
    </row>
    <row r="104" spans="1:6">
      <c r="A104" s="348" t="s">
        <v>78</v>
      </c>
      <c r="B104" s="334">
        <v>1800</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1</v>
      </c>
      <c r="C122" s="334">
        <v>0</v>
      </c>
    </row>
    <row r="123" spans="1:6">
      <c r="A123" s="348" t="s">
        <v>88</v>
      </c>
      <c r="B123" s="334">
        <v>62</v>
      </c>
      <c r="C123" s="334">
        <v>26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1</v>
      </c>
    </row>
    <row r="131" spans="1:6">
      <c r="A131" s="348" t="s">
        <v>296</v>
      </c>
      <c r="B131" s="334">
        <v>1</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170763.0796630249</v>
      </c>
      <c r="C3" s="43" t="s">
        <v>170</v>
      </c>
      <c r="D3" s="43"/>
      <c r="E3" s="154"/>
      <c r="F3" s="43"/>
      <c r="G3" s="43"/>
      <c r="H3" s="43"/>
      <c r="I3" s="43"/>
      <c r="J3" s="43"/>
      <c r="K3" s="96"/>
    </row>
    <row r="4" spans="1:11">
      <c r="A4" s="383" t="s">
        <v>171</v>
      </c>
      <c r="B4" s="49">
        <f>IF(ISERROR('SEAP template'!B69),0,'SEAP template'!B69)</f>
        <v>28716.614941687607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0.18383522225860199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1584.825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1584.825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0.18383522225860199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291.34665611598894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32554.746123181601</v>
      </c>
      <c r="C5" s="17">
        <f>IF(ISERROR('Eigen informatie GS &amp; warmtenet'!B57),0,'Eigen informatie GS &amp; warmtenet'!B57)</f>
        <v>0</v>
      </c>
      <c r="D5" s="30">
        <f>(SUM(HH_hh_gas_kWh,HH_rest_gas_kWh)/1000)*0.902</f>
        <v>120131.59673820621</v>
      </c>
      <c r="E5" s="17">
        <f>B46*B57</f>
        <v>1623.7142585753938</v>
      </c>
      <c r="F5" s="17">
        <f>B51*B62</f>
        <v>0</v>
      </c>
      <c r="G5" s="18"/>
      <c r="H5" s="17"/>
      <c r="I5" s="17"/>
      <c r="J5" s="17">
        <f>B50*B61+C50*C61</f>
        <v>0</v>
      </c>
      <c r="K5" s="17"/>
      <c r="L5" s="17"/>
      <c r="M5" s="17"/>
      <c r="N5" s="17">
        <f>B48*B59+C48*C59</f>
        <v>14346.189011439077</v>
      </c>
      <c r="O5" s="17">
        <f>B69*B70*B71</f>
        <v>198.54333333333332</v>
      </c>
      <c r="P5" s="17">
        <f>B77*B78*B79/1000-B77*B78*B79/1000/B80</f>
        <v>1544.4</v>
      </c>
    </row>
    <row r="6" spans="1:16">
      <c r="A6" s="16" t="s">
        <v>621</v>
      </c>
      <c r="B6" s="843">
        <f>kWh_PV_kleiner_dan_10kW</f>
        <v>2888.9319772197473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35443.678100401346</v>
      </c>
      <c r="C8" s="21">
        <f>C5</f>
        <v>0</v>
      </c>
      <c r="D8" s="21">
        <f>D5</f>
        <v>120131.59673820621</v>
      </c>
      <c r="E8" s="21">
        <f>E5</f>
        <v>1623.7142585753938</v>
      </c>
      <c r="F8" s="21">
        <f>F5</f>
        <v>0</v>
      </c>
      <c r="G8" s="21"/>
      <c r="H8" s="21"/>
      <c r="I8" s="21"/>
      <c r="J8" s="21">
        <f>J5</f>
        <v>0</v>
      </c>
      <c r="K8" s="21"/>
      <c r="L8" s="21">
        <f>L5</f>
        <v>0</v>
      </c>
      <c r="M8" s="21">
        <f>M5</f>
        <v>0</v>
      </c>
      <c r="N8" s="21">
        <f>N5</f>
        <v>14346.189011439077</v>
      </c>
      <c r="O8" s="21">
        <f>O5</f>
        <v>198.54333333333332</v>
      </c>
      <c r="P8" s="21">
        <f>P5</f>
        <v>1544.4</v>
      </c>
    </row>
    <row r="9" spans="1:16">
      <c r="B9" s="19"/>
      <c r="C9" s="19"/>
      <c r="D9" s="258"/>
      <c r="E9" s="19"/>
      <c r="F9" s="19"/>
      <c r="G9" s="19"/>
      <c r="H9" s="19"/>
      <c r="I9" s="19"/>
      <c r="J9" s="19"/>
      <c r="K9" s="19"/>
      <c r="L9" s="19"/>
      <c r="M9" s="19"/>
      <c r="N9" s="19"/>
      <c r="O9" s="19"/>
      <c r="P9" s="19"/>
    </row>
    <row r="10" spans="1:16">
      <c r="A10" s="24" t="s">
        <v>214</v>
      </c>
      <c r="B10" s="25">
        <f ca="1">'EF ele_warmte'!B12</f>
        <v>0.18383522225860199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6515.7964412496258</v>
      </c>
      <c r="C12" s="23">
        <f ca="1">C10*C8</f>
        <v>0</v>
      </c>
      <c r="D12" s="23">
        <f>D8*D10</f>
        <v>24266.582541117656</v>
      </c>
      <c r="E12" s="23">
        <f>E10*E8</f>
        <v>368.58313669661442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6495</v>
      </c>
      <c r="C18" s="166" t="s">
        <v>111</v>
      </c>
      <c r="D18" s="228"/>
      <c r="E18" s="15"/>
    </row>
    <row r="19" spans="1:7">
      <c r="A19" s="171" t="s">
        <v>72</v>
      </c>
      <c r="B19" s="37">
        <f>aantalw2001_ander</f>
        <v>10</v>
      </c>
      <c r="C19" s="166" t="s">
        <v>111</v>
      </c>
      <c r="D19" s="229"/>
      <c r="E19" s="15"/>
    </row>
    <row r="20" spans="1:7">
      <c r="A20" s="171" t="s">
        <v>73</v>
      </c>
      <c r="B20" s="37">
        <f>aantalw2001_propaan</f>
        <v>27</v>
      </c>
      <c r="C20" s="167">
        <f>IF(ISERROR(B20/SUM($B$20,$B$21,$B$22)*100),0,B20/SUM($B$20,$B$21,$B$22)*100)</f>
        <v>5.3254437869822491</v>
      </c>
      <c r="D20" s="229"/>
      <c r="E20" s="15"/>
    </row>
    <row r="21" spans="1:7">
      <c r="A21" s="171" t="s">
        <v>74</v>
      </c>
      <c r="B21" s="37">
        <f>aantalw2001_elektriciteit</f>
        <v>410</v>
      </c>
      <c r="C21" s="167">
        <f>IF(ISERROR(B21/SUM($B$20,$B$21,$B$22)*100),0,B21/SUM($B$20,$B$21,$B$22)*100)</f>
        <v>80.867850098619328</v>
      </c>
      <c r="D21" s="229"/>
      <c r="E21" s="15"/>
    </row>
    <row r="22" spans="1:7">
      <c r="A22" s="171" t="s">
        <v>75</v>
      </c>
      <c r="B22" s="37">
        <f>aantalw2001_hout</f>
        <v>70</v>
      </c>
      <c r="C22" s="167">
        <f>IF(ISERROR(B22/SUM($B$20,$B$21,$B$22)*100),0,B22/SUM($B$20,$B$21,$B$22)*100)</f>
        <v>13.806706114398423</v>
      </c>
      <c r="D22" s="229"/>
      <c r="E22" s="15"/>
    </row>
    <row r="23" spans="1:7">
      <c r="A23" s="171" t="s">
        <v>76</v>
      </c>
      <c r="B23" s="37">
        <f>aantalw2001_niet_gespec</f>
        <v>123</v>
      </c>
      <c r="C23" s="166" t="s">
        <v>111</v>
      </c>
      <c r="D23" s="228"/>
      <c r="E23" s="15"/>
    </row>
    <row r="24" spans="1:7">
      <c r="A24" s="171" t="s">
        <v>77</v>
      </c>
      <c r="B24" s="37">
        <f>aantalw2001_steenkool</f>
        <v>180</v>
      </c>
      <c r="C24" s="166" t="s">
        <v>111</v>
      </c>
      <c r="D24" s="229"/>
      <c r="E24" s="15"/>
    </row>
    <row r="25" spans="1:7">
      <c r="A25" s="171" t="s">
        <v>78</v>
      </c>
      <c r="B25" s="37">
        <f>aantalw2001_stookolie</f>
        <v>1800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10399</v>
      </c>
      <c r="C28" s="36"/>
      <c r="D28" s="228"/>
    </row>
    <row r="29" spans="1:7" s="15" customFormat="1">
      <c r="A29" s="230" t="s">
        <v>795</v>
      </c>
      <c r="B29" s="37">
        <f>SUM(HH_hh_gas_aantal,HH_rest_gas_aantal)</f>
        <v>8878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8878</v>
      </c>
      <c r="C32" s="167">
        <f>IF(ISERROR(B32/SUM($B$32,$B$34,$B$35,$B$36,$B$38,$B$39)*100),0,B32/SUM($B$32,$B$34,$B$35,$B$36,$B$38,$B$39)*100)</f>
        <v>86.043806939329329</v>
      </c>
      <c r="D32" s="233"/>
      <c r="G32" s="15"/>
    </row>
    <row r="33" spans="1:7">
      <c r="A33" s="171" t="s">
        <v>72</v>
      </c>
      <c r="B33" s="34" t="s">
        <v>111</v>
      </c>
      <c r="C33" s="167"/>
      <c r="D33" s="233"/>
      <c r="G33" s="15"/>
    </row>
    <row r="34" spans="1:7">
      <c r="A34" s="171" t="s">
        <v>73</v>
      </c>
      <c r="B34" s="33">
        <f>IF((($B$28-$B$32-$B$39-$B$77-$B$38)*C20/100)&lt;0,0,($B$28-$B$32-$B$39-$B$77-$B$38)*C20/100)</f>
        <v>76.68639053254438</v>
      </c>
      <c r="C34" s="167">
        <f>IF(ISERROR(B34/SUM($B$32,$B$34,$B$35,$B$36,$B$38,$B$39)*100),0,B34/SUM($B$32,$B$34,$B$35,$B$36,$B$38,$B$39)*100)</f>
        <v>0.74322921624873406</v>
      </c>
      <c r="D34" s="233"/>
      <c r="G34" s="15"/>
    </row>
    <row r="35" spans="1:7">
      <c r="A35" s="171" t="s">
        <v>74</v>
      </c>
      <c r="B35" s="33">
        <f>IF((($B$28-$B$32-$B$39-$B$77-$B$38)*C21/100)&lt;0,0,($B$28-$B$32-$B$39-$B$77-$B$38)*C21/100)</f>
        <v>1164.4970414201184</v>
      </c>
      <c r="C35" s="167">
        <f>IF(ISERROR(B35/SUM($B$32,$B$34,$B$35,$B$36,$B$38,$B$39)*100),0,B35/SUM($B$32,$B$34,$B$35,$B$36,$B$38,$B$39)*100)</f>
        <v>11.286073283777073</v>
      </c>
      <c r="D35" s="233"/>
      <c r="G35" s="15"/>
    </row>
    <row r="36" spans="1:7">
      <c r="A36" s="171" t="s">
        <v>75</v>
      </c>
      <c r="B36" s="33">
        <f>IF((($B$28-$B$32-$B$39-$B$77-$B$38)*C22/100)&lt;0,0,($B$28-$B$32-$B$39-$B$77-$B$38)*C22/100)</f>
        <v>198.81656804733728</v>
      </c>
      <c r="C36" s="167">
        <f>IF(ISERROR(B36/SUM($B$32,$B$34,$B$35,$B$36,$B$38,$B$39)*100),0,B36/SUM($B$32,$B$34,$B$35,$B$36,$B$38,$B$39)*100)</f>
        <v>1.9268905606448661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8878</v>
      </c>
      <c r="C44" s="34" t="s">
        <v>111</v>
      </c>
      <c r="D44" s="174"/>
    </row>
    <row r="45" spans="1:7">
      <c r="A45" s="171" t="s">
        <v>72</v>
      </c>
      <c r="B45" s="33" t="str">
        <f t="shared" si="0"/>
        <v>-</v>
      </c>
      <c r="C45" s="34" t="s">
        <v>111</v>
      </c>
      <c r="D45" s="174"/>
    </row>
    <row r="46" spans="1:7">
      <c r="A46" s="171" t="s">
        <v>73</v>
      </c>
      <c r="B46" s="33">
        <f t="shared" si="0"/>
        <v>76.68639053254438</v>
      </c>
      <c r="C46" s="34" t="s">
        <v>111</v>
      </c>
      <c r="D46" s="174"/>
    </row>
    <row r="47" spans="1:7">
      <c r="A47" s="171" t="s">
        <v>74</v>
      </c>
      <c r="B47" s="33">
        <f t="shared" si="0"/>
        <v>1164.4970414201184</v>
      </c>
      <c r="C47" s="34" t="s">
        <v>111</v>
      </c>
      <c r="D47" s="174"/>
    </row>
    <row r="48" spans="1:7">
      <c r="A48" s="171" t="s">
        <v>75</v>
      </c>
      <c r="B48" s="33">
        <f t="shared" si="0"/>
        <v>198.81656804733728</v>
      </c>
      <c r="C48" s="33">
        <f>B48*10</f>
        <v>1988.165680473373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55498.108367886096</v>
      </c>
      <c r="C5" s="17">
        <f>IF(ISERROR('Eigen informatie GS &amp; warmtenet'!B58),0,'Eigen informatie GS &amp; warmtenet'!B58)</f>
        <v>0</v>
      </c>
      <c r="D5" s="30">
        <f>SUM(D6:D12)</f>
        <v>48486.601575735811</v>
      </c>
      <c r="E5" s="17">
        <f>SUM(E6:E12)</f>
        <v>834.43197852996263</v>
      </c>
      <c r="F5" s="17">
        <f>SUM(F6:F12)</f>
        <v>9739.9488430265392</v>
      </c>
      <c r="G5" s="18"/>
      <c r="H5" s="17"/>
      <c r="I5" s="17"/>
      <c r="J5" s="17">
        <f>SUM(J6:J12)</f>
        <v>0.10828629777548557</v>
      </c>
      <c r="K5" s="17"/>
      <c r="L5" s="17"/>
      <c r="M5" s="17"/>
      <c r="N5" s="17">
        <f>SUM(N6:N12)</f>
        <v>4322.2646645094455</v>
      </c>
      <c r="O5" s="17">
        <f>B38*B39*B40</f>
        <v>1.5633333333333335</v>
      </c>
      <c r="P5" s="17">
        <f>B46*B47*B48/1000-B46*B47*B48/1000/B49</f>
        <v>57.2</v>
      </c>
      <c r="R5" s="32"/>
    </row>
    <row r="6" spans="1:18">
      <c r="A6" s="32" t="s">
        <v>54</v>
      </c>
      <c r="B6" s="37">
        <f>B26</f>
        <v>19846.188029382698</v>
      </c>
      <c r="C6" s="33"/>
      <c r="D6" s="37">
        <f>IF(ISERROR(TER_kantoor_gas_kWh/1000),0,TER_kantoor_gas_kWh/1000)*0.902</f>
        <v>16687.012188760731</v>
      </c>
      <c r="E6" s="33">
        <f>$C$26*'E Balans VL '!I12/100/3.6*1000000</f>
        <v>0.12438930582944206</v>
      </c>
      <c r="F6" s="33">
        <f>$C$26*('E Balans VL '!L12+'E Balans VL '!N12)/100/3.6*1000000</f>
        <v>2982.3275054326455</v>
      </c>
      <c r="G6" s="34"/>
      <c r="H6" s="33"/>
      <c r="I6" s="33"/>
      <c r="J6" s="33">
        <f>$C$26*('E Balans VL '!D12+'E Balans VL '!E12)/100/3.6*1000000</f>
        <v>0</v>
      </c>
      <c r="K6" s="33"/>
      <c r="L6" s="33"/>
      <c r="M6" s="33"/>
      <c r="N6" s="33">
        <f>$C$26*'E Balans VL '!Y12/100/3.6*1000000</f>
        <v>18.979936329804758</v>
      </c>
      <c r="O6" s="33"/>
      <c r="P6" s="33"/>
      <c r="R6" s="32"/>
    </row>
    <row r="7" spans="1:18">
      <c r="A7" s="32" t="s">
        <v>53</v>
      </c>
      <c r="B7" s="37">
        <f t="shared" ref="B7:B12" si="0">B27</f>
        <v>2088.25772190116</v>
      </c>
      <c r="C7" s="33"/>
      <c r="D7" s="37">
        <f>IF(ISERROR(TER_horeca_gas_kWh/1000),0,TER_horeca_gas_kWh/1000)*0.902</f>
        <v>2161.6402433736625</v>
      </c>
      <c r="E7" s="33">
        <f>$C$27*'E Balans VL '!I9/100/3.6*1000000</f>
        <v>29.903502740289635</v>
      </c>
      <c r="F7" s="33">
        <f>$C$27*('E Balans VL '!L9+'E Balans VL '!N9)/100/3.6*1000000</f>
        <v>264.44230098576219</v>
      </c>
      <c r="G7" s="34"/>
      <c r="H7" s="33"/>
      <c r="I7" s="33"/>
      <c r="J7" s="33">
        <f>$C$27*('E Balans VL '!D9+'E Balans VL '!E9)/100/3.6*1000000</f>
        <v>0</v>
      </c>
      <c r="K7" s="33"/>
      <c r="L7" s="33"/>
      <c r="M7" s="33"/>
      <c r="N7" s="33">
        <f>$C$27*'E Balans VL '!Y9/100/3.6*1000000</f>
        <v>0.60032805291605673</v>
      </c>
      <c r="O7" s="33"/>
      <c r="P7" s="33"/>
      <c r="R7" s="32"/>
    </row>
    <row r="8" spans="1:18">
      <c r="A8" s="6" t="s">
        <v>52</v>
      </c>
      <c r="B8" s="37">
        <f t="shared" si="0"/>
        <v>18753.494188976198</v>
      </c>
      <c r="C8" s="33"/>
      <c r="D8" s="37">
        <f>IF(ISERROR(TER_handel_gas_kWh/1000),0,TER_handel_gas_kWh/1000)*0.902</f>
        <v>10633.617948792564</v>
      </c>
      <c r="E8" s="33">
        <f>$C$28*'E Balans VL '!I13/100/3.6*1000000</f>
        <v>680.18692165687048</v>
      </c>
      <c r="F8" s="33">
        <f>$C$28*('E Balans VL '!L13+'E Balans VL '!N13)/100/3.6*1000000</f>
        <v>3612.1128719983844</v>
      </c>
      <c r="G8" s="34"/>
      <c r="H8" s="33"/>
      <c r="I8" s="33"/>
      <c r="J8" s="33">
        <f>$C$28*('E Balans VL '!D13+'E Balans VL '!E13)/100/3.6*1000000</f>
        <v>0</v>
      </c>
      <c r="K8" s="33"/>
      <c r="L8" s="33"/>
      <c r="M8" s="33"/>
      <c r="N8" s="33">
        <f>$C$28*'E Balans VL '!Y13/100/3.6*1000000</f>
        <v>25.977904438302282</v>
      </c>
      <c r="O8" s="33"/>
      <c r="P8" s="33"/>
      <c r="R8" s="32"/>
    </row>
    <row r="9" spans="1:18">
      <c r="A9" s="32" t="s">
        <v>51</v>
      </c>
      <c r="B9" s="37">
        <f t="shared" si="0"/>
        <v>1301.62173679537</v>
      </c>
      <c r="C9" s="33"/>
      <c r="D9" s="37">
        <f>IF(ISERROR(TER_gezond_gas_kWh/1000),0,TER_gezond_gas_kWh/1000)*0.902</f>
        <v>3787.326012272566</v>
      </c>
      <c r="E9" s="33">
        <f>$C$29*'E Balans VL '!I10/100/3.6*1000000</f>
        <v>8.1494371916338779E-2</v>
      </c>
      <c r="F9" s="33">
        <f>$C$29*('E Balans VL '!L10+'E Balans VL '!N10)/100/3.6*1000000</f>
        <v>193.35987206171887</v>
      </c>
      <c r="G9" s="34"/>
      <c r="H9" s="33"/>
      <c r="I9" s="33"/>
      <c r="J9" s="33">
        <f>$C$29*('E Balans VL '!D10+'E Balans VL '!E10)/100/3.6*1000000</f>
        <v>0</v>
      </c>
      <c r="K9" s="33"/>
      <c r="L9" s="33"/>
      <c r="M9" s="33"/>
      <c r="N9" s="33">
        <f>$C$29*'E Balans VL '!Y10/100/3.6*1000000</f>
        <v>20.133610620512442</v>
      </c>
      <c r="O9" s="33"/>
      <c r="P9" s="33"/>
      <c r="R9" s="32"/>
    </row>
    <row r="10" spans="1:18">
      <c r="A10" s="32" t="s">
        <v>50</v>
      </c>
      <c r="B10" s="37">
        <f t="shared" si="0"/>
        <v>3956.8725199411697</v>
      </c>
      <c r="C10" s="33"/>
      <c r="D10" s="37">
        <f>IF(ISERROR(TER_ander_gas_kWh/1000),0,TER_ander_gas_kWh/1000)*0.902</f>
        <v>1569.9913740241168</v>
      </c>
      <c r="E10" s="33">
        <f>$C$30*'E Balans VL '!I14/100/3.6*1000000</f>
        <v>4.7164506490375224</v>
      </c>
      <c r="F10" s="33">
        <f>$C$30*('E Balans VL '!L14+'E Balans VL '!N14)/100/3.6*1000000</f>
        <v>1035.2937599524216</v>
      </c>
      <c r="G10" s="34"/>
      <c r="H10" s="33"/>
      <c r="I10" s="33"/>
      <c r="J10" s="33">
        <f>$C$30*('E Balans VL '!D14+'E Balans VL '!E14)/100/3.6*1000000</f>
        <v>8.5888191895920257E-2</v>
      </c>
      <c r="K10" s="33"/>
      <c r="L10" s="33"/>
      <c r="M10" s="33"/>
      <c r="N10" s="33">
        <f>$C$30*'E Balans VL '!Y14/100/3.6*1000000</f>
        <v>3360.0793206263638</v>
      </c>
      <c r="O10" s="33"/>
      <c r="P10" s="33"/>
      <c r="R10" s="32"/>
    </row>
    <row r="11" spans="1:18">
      <c r="A11" s="32" t="s">
        <v>55</v>
      </c>
      <c r="B11" s="37">
        <f t="shared" si="0"/>
        <v>302.088190207705</v>
      </c>
      <c r="C11" s="33"/>
      <c r="D11" s="37">
        <f>IF(ISERROR(TER_onderwijs_gas_kWh/1000),0,TER_onderwijs_gas_kWh/1000)*0.902</f>
        <v>2103.4036780283818</v>
      </c>
      <c r="E11" s="33">
        <f>$C$31*'E Balans VL '!I11/100/3.6*1000000</f>
        <v>4.5580242309371641</v>
      </c>
      <c r="F11" s="33">
        <f>$C$31*('E Balans VL '!L11+'E Balans VL '!N11)/100/3.6*1000000</f>
        <v>52.930676926800444</v>
      </c>
      <c r="G11" s="34"/>
      <c r="H11" s="33"/>
      <c r="I11" s="33"/>
      <c r="J11" s="33">
        <f>$C$31*('E Balans VL '!D11+'E Balans VL '!E11)/100/3.6*1000000</f>
        <v>0</v>
      </c>
      <c r="K11" s="33"/>
      <c r="L11" s="33"/>
      <c r="M11" s="33"/>
      <c r="N11" s="33">
        <f>$C$31*'E Balans VL '!Y11/100/3.6*1000000</f>
        <v>0.85009913286327521</v>
      </c>
      <c r="O11" s="33"/>
      <c r="P11" s="33"/>
      <c r="R11" s="32"/>
    </row>
    <row r="12" spans="1:18">
      <c r="A12" s="32" t="s">
        <v>260</v>
      </c>
      <c r="B12" s="37">
        <f t="shared" si="0"/>
        <v>9249.5859806817989</v>
      </c>
      <c r="C12" s="33"/>
      <c r="D12" s="37">
        <f>IF(ISERROR(TER_rest_gas_kWh/1000),0,TER_rest_gas_kWh/1000)*0.902</f>
        <v>11543.61013048379</v>
      </c>
      <c r="E12" s="33">
        <f>$C$32*'E Balans VL '!I8/100/3.6*1000000</f>
        <v>114.86119557508204</v>
      </c>
      <c r="F12" s="33">
        <f>$C$32*('E Balans VL '!L8+'E Balans VL '!N8)/100/3.6*1000000</f>
        <v>1599.4818556688053</v>
      </c>
      <c r="G12" s="34"/>
      <c r="H12" s="33"/>
      <c r="I12" s="33"/>
      <c r="J12" s="33">
        <f>$C$32*('E Balans VL '!D8+'E Balans VL '!E8)/100/3.6*1000000</f>
        <v>2.2398105879565307E-2</v>
      </c>
      <c r="K12" s="33"/>
      <c r="L12" s="33"/>
      <c r="M12" s="33"/>
      <c r="N12" s="33">
        <f>$C$32*'E Balans VL '!Y8/100/3.6*1000000</f>
        <v>895.64346530868283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55498.108367886096</v>
      </c>
      <c r="C16" s="21">
        <f t="shared" ca="1" si="1"/>
        <v>0</v>
      </c>
      <c r="D16" s="21">
        <f t="shared" ca="1" si="1"/>
        <v>48486.601575735811</v>
      </c>
      <c r="E16" s="21">
        <f t="shared" si="1"/>
        <v>834.43197852996263</v>
      </c>
      <c r="F16" s="21">
        <f t="shared" ca="1" si="1"/>
        <v>9739.9488430265392</v>
      </c>
      <c r="G16" s="21">
        <f t="shared" si="1"/>
        <v>0</v>
      </c>
      <c r="H16" s="21">
        <f t="shared" si="1"/>
        <v>0</v>
      </c>
      <c r="I16" s="21">
        <f t="shared" si="1"/>
        <v>0</v>
      </c>
      <c r="J16" s="21">
        <f t="shared" si="1"/>
        <v>0.10828629777548557</v>
      </c>
      <c r="K16" s="21">
        <f t="shared" si="1"/>
        <v>0</v>
      </c>
      <c r="L16" s="21">
        <f t="shared" ca="1" si="1"/>
        <v>0</v>
      </c>
      <c r="M16" s="21">
        <f t="shared" si="1"/>
        <v>0</v>
      </c>
      <c r="N16" s="21">
        <f t="shared" ca="1" si="1"/>
        <v>4322.2646645094455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0.18383522225860199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10202.50708674232</v>
      </c>
      <c r="C20" s="23">
        <f t="shared" ref="C20:P20" ca="1" si="2">C16*C18</f>
        <v>0</v>
      </c>
      <c r="D20" s="23">
        <f t="shared" ca="1" si="2"/>
        <v>9794.2935182986348</v>
      </c>
      <c r="E20" s="23">
        <f t="shared" si="2"/>
        <v>189.41605912630152</v>
      </c>
      <c r="F20" s="23">
        <f t="shared" ca="1" si="2"/>
        <v>2600.5663410880861</v>
      </c>
      <c r="G20" s="23">
        <f t="shared" si="2"/>
        <v>0</v>
      </c>
      <c r="H20" s="23">
        <f t="shared" si="2"/>
        <v>0</v>
      </c>
      <c r="I20" s="23">
        <f t="shared" si="2"/>
        <v>0</v>
      </c>
      <c r="J20" s="23">
        <f t="shared" si="2"/>
        <v>3.8333349412521887E-2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19846.188029382698</v>
      </c>
      <c r="C26" s="39">
        <f>IF(ISERROR(B26*3.6/1000000/'E Balans VL '!Z12*100),0,B26*3.6/1000000/'E Balans VL '!Z12*100)</f>
        <v>0.41951697603983229</v>
      </c>
      <c r="D26" s="237" t="s">
        <v>754</v>
      </c>
      <c r="F26" s="6"/>
    </row>
    <row r="27" spans="1:18">
      <c r="A27" s="231" t="s">
        <v>53</v>
      </c>
      <c r="B27" s="33">
        <f>IF(ISERROR(TER_horeca_ele_kWh/1000),0,TER_horeca_ele_kWh/1000)</f>
        <v>2088.25772190116</v>
      </c>
      <c r="C27" s="39">
        <f>IF(ISERROR(B27*3.6/1000000/'E Balans VL '!Z9*100),0,B27*3.6/1000000/'E Balans VL '!Z9*100)</f>
        <v>0.16461657788408016</v>
      </c>
      <c r="D27" s="237" t="s">
        <v>754</v>
      </c>
      <c r="F27" s="6"/>
    </row>
    <row r="28" spans="1:18">
      <c r="A28" s="171" t="s">
        <v>52</v>
      </c>
      <c r="B28" s="33">
        <f>IF(ISERROR(TER_handel_ele_kWh/1000),0,TER_handel_ele_kWh/1000)</f>
        <v>18753.494188976198</v>
      </c>
      <c r="C28" s="39">
        <f>IF(ISERROR(B28*3.6/1000000/'E Balans VL '!Z13*100),0,B28*3.6/1000000/'E Balans VL '!Z13*100)</f>
        <v>0.54430217397139591</v>
      </c>
      <c r="D28" s="237" t="s">
        <v>754</v>
      </c>
      <c r="F28" s="6"/>
    </row>
    <row r="29" spans="1:18">
      <c r="A29" s="231" t="s">
        <v>51</v>
      </c>
      <c r="B29" s="33">
        <f>IF(ISERROR(TER_gezond_ele_kWh/1000),0,TER_gezond_ele_kWh/1000)</f>
        <v>1301.62173679537</v>
      </c>
      <c r="C29" s="39">
        <f>IF(ISERROR(B29*3.6/1000000/'E Balans VL '!Z10*100),0,B29*3.6/1000000/'E Balans VL '!Z10*100)</f>
        <v>0.13708214207764036</v>
      </c>
      <c r="D29" s="237" t="s">
        <v>754</v>
      </c>
      <c r="F29" s="6"/>
    </row>
    <row r="30" spans="1:18">
      <c r="A30" s="231" t="s">
        <v>50</v>
      </c>
      <c r="B30" s="33">
        <f>IF(ISERROR(TER_ander_ele_kWh/1000),0,TER_ander_ele_kWh/1000)</f>
        <v>3956.8725199411697</v>
      </c>
      <c r="C30" s="39">
        <f>IF(ISERROR(B30*3.6/1000000/'E Balans VL '!Z14*100),0,B30*3.6/1000000/'E Balans VL '!Z14*100)</f>
        <v>0.2918597764992969</v>
      </c>
      <c r="D30" s="237" t="s">
        <v>754</v>
      </c>
      <c r="F30" s="6"/>
    </row>
    <row r="31" spans="1:18">
      <c r="A31" s="231" t="s">
        <v>55</v>
      </c>
      <c r="B31" s="33">
        <f>IF(ISERROR(TER_onderwijs_ele_kWh/1000),0,TER_onderwijs_ele_kWh/1000)</f>
        <v>302.088190207705</v>
      </c>
      <c r="C31" s="39">
        <f>IF(ISERROR(B31*3.6/1000000/'E Balans VL '!Z11*100),0,B31*3.6/1000000/'E Balans VL '!Z11*100)</f>
        <v>7.5022648272763059E-2</v>
      </c>
      <c r="D31" s="237" t="s">
        <v>754</v>
      </c>
    </row>
    <row r="32" spans="1:18">
      <c r="A32" s="231" t="s">
        <v>260</v>
      </c>
      <c r="B32" s="33">
        <f>IF(ISERROR(TER_rest_ele_kWh/1000),0,TER_rest_ele_kWh/1000)</f>
        <v>9249.5859806817989</v>
      </c>
      <c r="C32" s="39">
        <f>IF(ISERROR(B32*3.6/1000000/'E Balans VL '!Z8*100),0,B32*3.6/1000000/'E Balans VL '!Z8*100)</f>
        <v>7.6111815043669984E-2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77823.630196409722</v>
      </c>
      <c r="C5" s="17">
        <f>IF(ISERROR('Eigen informatie GS &amp; warmtenet'!B59),0,'Eigen informatie GS &amp; warmtenet'!B59)</f>
        <v>0</v>
      </c>
      <c r="D5" s="30">
        <f>SUM(D6:D15)</f>
        <v>195362.1935686536</v>
      </c>
      <c r="E5" s="17">
        <f>SUM(E6:E15)</f>
        <v>4770.0656005797628</v>
      </c>
      <c r="F5" s="17">
        <f>SUM(F6:F15)</f>
        <v>16646.431816256612</v>
      </c>
      <c r="G5" s="18"/>
      <c r="H5" s="17"/>
      <c r="I5" s="17"/>
      <c r="J5" s="17">
        <f>SUM(J6:J15)</f>
        <v>258.83982294566476</v>
      </c>
      <c r="K5" s="17"/>
      <c r="L5" s="17"/>
      <c r="M5" s="17"/>
      <c r="N5" s="17">
        <f>SUM(N6:N15)</f>
        <v>17629.103060037902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2235.4069565016798</v>
      </c>
      <c r="C8" s="33"/>
      <c r="D8" s="37">
        <f>IF( ISERROR(IND_metaal_Gas_kWH/1000),0,IND_metaal_Gas_kWH/1000)*0.902</f>
        <v>6850.6981342387153</v>
      </c>
      <c r="E8" s="33">
        <f>C30*'E Balans VL '!I18/100/3.6*1000000</f>
        <v>20.552407988462431</v>
      </c>
      <c r="F8" s="33">
        <f>C30*'E Balans VL '!L18/100/3.6*1000000+C30*'E Balans VL '!N18/100/3.6*1000000</f>
        <v>209.60674828871376</v>
      </c>
      <c r="G8" s="34"/>
      <c r="H8" s="33"/>
      <c r="I8" s="33"/>
      <c r="J8" s="40">
        <f>C30*'E Balans VL '!D18/100/3.6*1000000+C30*'E Balans VL '!E18/100/3.6*1000000</f>
        <v>0</v>
      </c>
      <c r="K8" s="33"/>
      <c r="L8" s="33"/>
      <c r="M8" s="33"/>
      <c r="N8" s="33">
        <f>C30*'E Balans VL '!Y18/100/3.6*1000000</f>
        <v>31.891774400057272</v>
      </c>
      <c r="O8" s="33"/>
      <c r="P8" s="33"/>
      <c r="R8" s="32"/>
    </row>
    <row r="9" spans="1:18">
      <c r="A9" s="6" t="s">
        <v>33</v>
      </c>
      <c r="B9" s="37">
        <f t="shared" si="0"/>
        <v>2587.28400658386</v>
      </c>
      <c r="C9" s="33"/>
      <c r="D9" s="37">
        <f>IF( ISERROR(IND_andere_gas_kWh/1000),0,IND_andere_gas_kWh/1000)*0.902</f>
        <v>2182.9664055700632</v>
      </c>
      <c r="E9" s="33">
        <f>C31*'E Balans VL '!I19/100/3.6*1000000</f>
        <v>756.31348360314291</v>
      </c>
      <c r="F9" s="33">
        <f>C31*'E Balans VL '!L19/100/3.6*1000000+C31*'E Balans VL '!N19/100/3.6*1000000</f>
        <v>2079.0785386945463</v>
      </c>
      <c r="G9" s="34"/>
      <c r="H9" s="33"/>
      <c r="I9" s="33"/>
      <c r="J9" s="40">
        <f>C31*'E Balans VL '!D19/100/3.6*1000000+C31*'E Balans VL '!E19/100/3.6*1000000</f>
        <v>0</v>
      </c>
      <c r="K9" s="33"/>
      <c r="L9" s="33"/>
      <c r="M9" s="33"/>
      <c r="N9" s="33">
        <f>C31*'E Balans VL '!Y19/100/3.6*1000000</f>
        <v>854.87876170531888</v>
      </c>
      <c r="O9" s="33"/>
      <c r="P9" s="33"/>
      <c r="R9" s="32"/>
    </row>
    <row r="10" spans="1:18">
      <c r="A10" s="6" t="s">
        <v>41</v>
      </c>
      <c r="B10" s="37">
        <f t="shared" si="0"/>
        <v>538.18366713811895</v>
      </c>
      <c r="C10" s="33"/>
      <c r="D10" s="37">
        <f>IF( ISERROR(IND_voed_gas_kWh/1000),0,IND_voed_gas_kWh/1000)*0.902</f>
        <v>723.92370160862174</v>
      </c>
      <c r="E10" s="33">
        <f>C32*'E Balans VL '!I20/100/3.6*1000000</f>
        <v>1.1385358924672824</v>
      </c>
      <c r="F10" s="33">
        <f>C32*'E Balans VL '!L20/100/3.6*1000000+C32*'E Balans VL '!N20/100/3.6*1000000</f>
        <v>34.218267295136748</v>
      </c>
      <c r="G10" s="34"/>
      <c r="H10" s="33"/>
      <c r="I10" s="33"/>
      <c r="J10" s="40">
        <f>C32*'E Balans VL '!D20/100/3.6*1000000+C32*'E Balans VL '!E20/100/3.6*1000000</f>
        <v>0</v>
      </c>
      <c r="K10" s="33"/>
      <c r="L10" s="33"/>
      <c r="M10" s="33"/>
      <c r="N10" s="33">
        <f>C32*'E Balans VL '!Y20/100/3.6*1000000</f>
        <v>37.13998395872779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168.00292772514999</v>
      </c>
      <c r="C13" s="33"/>
      <c r="D13" s="37">
        <f>IF( ISERROR(IND_papier_gas_kWh/1000),0,IND_papier_gas_kWh/1000)*0.902</f>
        <v>88.758205215719059</v>
      </c>
      <c r="E13" s="33">
        <f>C35*'E Balans VL '!I23/100/3.6*1000000</f>
        <v>0.23835773247068606</v>
      </c>
      <c r="F13" s="33">
        <f>C35*'E Balans VL '!L23/100/3.6*1000000+C35*'E Balans VL '!N23/100/3.6*1000000</f>
        <v>4.1015831975096884</v>
      </c>
      <c r="G13" s="34"/>
      <c r="H13" s="33"/>
      <c r="I13" s="33"/>
      <c r="J13" s="40">
        <f>C35*'E Balans VL '!D23/100/3.6*1000000+C35*'E Balans VL '!E23/100/3.6*1000000</f>
        <v>2.5983230080297036E-2</v>
      </c>
      <c r="K13" s="33"/>
      <c r="L13" s="33"/>
      <c r="M13" s="33"/>
      <c r="N13" s="33">
        <f>C35*'E Balans VL '!Y23/100/3.6*1000000</f>
        <v>488.34474187242108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72294.752638460908</v>
      </c>
      <c r="C15" s="33"/>
      <c r="D15" s="37">
        <f>IF( ISERROR(IND_rest_gas_kWh/1000),0,IND_rest_gas_kWh/1000)*0.902</f>
        <v>185515.84712202047</v>
      </c>
      <c r="E15" s="33">
        <f>C37*'E Balans VL '!I15/100/3.6*1000000</f>
        <v>3991.8228153632194</v>
      </c>
      <c r="F15" s="33">
        <f>C37*'E Balans VL '!L15/100/3.6*1000000+C37*'E Balans VL '!N15/100/3.6*1000000</f>
        <v>14319.426678780705</v>
      </c>
      <c r="G15" s="34"/>
      <c r="H15" s="33"/>
      <c r="I15" s="33"/>
      <c r="J15" s="40">
        <f>C37*'E Balans VL '!D15/100/3.6*1000000+C37*'E Balans VL '!E15/100/3.6*1000000</f>
        <v>258.81383971558449</v>
      </c>
      <c r="K15" s="33"/>
      <c r="L15" s="33"/>
      <c r="M15" s="33"/>
      <c r="N15" s="33">
        <f>C37*'E Balans VL '!Y15/100/3.6*1000000</f>
        <v>16216.847798101377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77823.630196409722</v>
      </c>
      <c r="C18" s="21">
        <f>C5+C16</f>
        <v>0</v>
      </c>
      <c r="D18" s="21">
        <f>MAX((D5+D16),0)</f>
        <v>195362.1935686536</v>
      </c>
      <c r="E18" s="21">
        <f>MAX((E5+E16),0)</f>
        <v>4770.0656005797628</v>
      </c>
      <c r="F18" s="21">
        <f>MAX((F5+F16),0)</f>
        <v>16646.431816256612</v>
      </c>
      <c r="G18" s="21"/>
      <c r="H18" s="21"/>
      <c r="I18" s="21"/>
      <c r="J18" s="21">
        <f>MAX((J5+J16),0)</f>
        <v>258.83982294566476</v>
      </c>
      <c r="K18" s="21"/>
      <c r="L18" s="21">
        <f>MAX((L5+L16),0)</f>
        <v>0</v>
      </c>
      <c r="M18" s="21"/>
      <c r="N18" s="21">
        <f>MAX((N5+N16),0)</f>
        <v>17629.103060037902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0.18383522225860199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14306.724354128231</v>
      </c>
      <c r="C22" s="23">
        <f ca="1">C18*C20</f>
        <v>0</v>
      </c>
      <c r="D22" s="23">
        <f>D18*D20</f>
        <v>39463.163100868027</v>
      </c>
      <c r="E22" s="23">
        <f>E18*E20</f>
        <v>1082.8048913316061</v>
      </c>
      <c r="F22" s="23">
        <f>F18*F20</f>
        <v>4444.5972949405159</v>
      </c>
      <c r="G22" s="23"/>
      <c r="H22" s="23"/>
      <c r="I22" s="23"/>
      <c r="J22" s="23">
        <f>J18*J20</f>
        <v>91.629297322765325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2235.4069565016798</v>
      </c>
      <c r="C30" s="39">
        <f>IF(ISERROR(B30*3.6/1000000/'E Balans VL '!Z18*100),0,B30*3.6/1000000/'E Balans VL '!Z18*100)</f>
        <v>0.1266862441832845</v>
      </c>
      <c r="D30" s="237" t="s">
        <v>754</v>
      </c>
    </row>
    <row r="31" spans="1:18">
      <c r="A31" s="6" t="s">
        <v>33</v>
      </c>
      <c r="B31" s="37">
        <f>IF( ISERROR(IND_ander_ele_kWh/1000),0,IND_ander_ele_kWh/1000)</f>
        <v>2587.28400658386</v>
      </c>
      <c r="C31" s="39">
        <f>IF(ISERROR(B31*3.6/1000000/'E Balans VL '!Z19*100),0,B31*3.6/1000000/'E Balans VL '!Z19*100)</f>
        <v>0.11734842927554584</v>
      </c>
      <c r="D31" s="237" t="s">
        <v>754</v>
      </c>
    </row>
    <row r="32" spans="1:18">
      <c r="A32" s="171" t="s">
        <v>41</v>
      </c>
      <c r="B32" s="37">
        <f>IF( ISERROR(IND_voed_ele_kWh/1000),0,IND_voed_ele_kWh/1000)</f>
        <v>538.18366713811895</v>
      </c>
      <c r="C32" s="39">
        <f>IF(ISERROR(B32*3.6/1000000/'E Balans VL '!Z20*100),0,B32*3.6/1000000/'E Balans VL '!Z20*100)</f>
        <v>1.6648463972142456E-2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168.00292772514999</v>
      </c>
      <c r="C35" s="39">
        <f>IF(ISERROR(B35*3.6/1000000/'E Balans VL '!Z22*100),0,B35*3.6/1000000/'E Balans VL '!Z22*100)</f>
        <v>3.0218485066776879E-2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72294.752638460908</v>
      </c>
      <c r="C37" s="39">
        <f>IF(ISERROR(B37*3.6/1000000/'E Balans VL '!Z15*100),0,B37*3.6/1000000/'E Balans VL '!Z15*100)</f>
        <v>0.57302470106005676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308.8248716146631</v>
      </c>
      <c r="C5" s="17">
        <f>'Eigen informatie GS &amp; warmtenet'!B60</f>
        <v>0</v>
      </c>
      <c r="D5" s="30">
        <f>IF(ISERROR(SUM(LB_lb_gas_kWh,LB_rest_gas_kWh,onbekend_gas_kWh)/1000),0,SUM(LB_lb_gas_kWh,LB_rest_gas_kWh,onbekend_gas_kWh)/1000)*0.902</f>
        <v>3877.6694566198375</v>
      </c>
      <c r="E5" s="17">
        <f>B17*'E Balans VL '!I25/3.6*1000000/100</f>
        <v>9.0773062367853452</v>
      </c>
      <c r="F5" s="17">
        <f>B17*('E Balans VL '!L25/3.6*1000000+'E Balans VL '!N25/3.6*1000000)/100</f>
        <v>1286.5477271265395</v>
      </c>
      <c r="G5" s="18"/>
      <c r="H5" s="17"/>
      <c r="I5" s="17"/>
      <c r="J5" s="17">
        <f>('E Balans VL '!D25+'E Balans VL '!E25)/3.6*1000000*landbouw!B17/100</f>
        <v>44.742091806929963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308.8248716146631</v>
      </c>
      <c r="C8" s="21">
        <f>C5+C6</f>
        <v>0</v>
      </c>
      <c r="D8" s="21">
        <f>MAX((D5+D6),0)</f>
        <v>3877.6694566198375</v>
      </c>
      <c r="E8" s="21">
        <f>MAX((E5+E6),0)</f>
        <v>9.0773062367853452</v>
      </c>
      <c r="F8" s="21">
        <f>MAX((F5+F6),0)</f>
        <v>1286.5477271265395</v>
      </c>
      <c r="G8" s="21"/>
      <c r="H8" s="21"/>
      <c r="I8" s="21"/>
      <c r="J8" s="21">
        <f>MAX((J5+J6),0)</f>
        <v>44.742091806929963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0.18383522225860199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56.772888912265813</v>
      </c>
      <c r="C12" s="23">
        <f ca="1">C8*C10</f>
        <v>0</v>
      </c>
      <c r="D12" s="23">
        <f>D8*D10</f>
        <v>783.28923023720722</v>
      </c>
      <c r="E12" s="23">
        <f>E8*E10</f>
        <v>2.0605485157502734</v>
      </c>
      <c r="F12" s="23">
        <f>F8*F10</f>
        <v>343.50824314278606</v>
      </c>
      <c r="G12" s="23"/>
      <c r="H12" s="23"/>
      <c r="I12" s="23"/>
      <c r="J12" s="23">
        <f>J8*J10</f>
        <v>15.838700499653205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4.382321819060668E-2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96.992967628803271</v>
      </c>
      <c r="C26" s="247">
        <f>B26*'GWP N2O_CH4'!B5</f>
        <v>2036.8523202048686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15.445172093479579</v>
      </c>
      <c r="C27" s="247">
        <f>B27*'GWP N2O_CH4'!B5</f>
        <v>324.34861396307116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1.1567086710145766</v>
      </c>
      <c r="C28" s="247">
        <f>B28*'GWP N2O_CH4'!B4</f>
        <v>358.57968801451875</v>
      </c>
      <c r="D28" s="50"/>
    </row>
    <row r="29" spans="1:4">
      <c r="A29" s="41" t="s">
        <v>277</v>
      </c>
      <c r="B29" s="247">
        <f>B34*'ha_N2O bodem landbouw'!B4</f>
        <v>4.3306186626726637</v>
      </c>
      <c r="C29" s="247">
        <f>B29*'GWP N2O_CH4'!B4</f>
        <v>1342.4917854285256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9.8823225484606625E-4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3.7444725616694424E-4</v>
      </c>
      <c r="C5" s="463" t="s">
        <v>211</v>
      </c>
      <c r="D5" s="448">
        <f>SUM(D6:D11)</f>
        <v>1.2975829328971736E-3</v>
      </c>
      <c r="E5" s="448">
        <f>SUM(E6:E11)</f>
        <v>1.8267837669502646E-3</v>
      </c>
      <c r="F5" s="461" t="s">
        <v>211</v>
      </c>
      <c r="G5" s="448">
        <f>SUM(G6:G11)</f>
        <v>0.95177720954562162</v>
      </c>
      <c r="H5" s="448">
        <f>SUM(H6:H11)</f>
        <v>0.14781611009456649</v>
      </c>
      <c r="I5" s="463" t="s">
        <v>211</v>
      </c>
      <c r="J5" s="463" t="s">
        <v>211</v>
      </c>
      <c r="K5" s="463" t="s">
        <v>211</v>
      </c>
      <c r="L5" s="463" t="s">
        <v>211</v>
      </c>
      <c r="M5" s="448">
        <f>SUM(M6:M11)</f>
        <v>5.9995827233834925E-2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2.1777856027166092E-4</v>
      </c>
      <c r="C6" s="449"/>
      <c r="D6" s="962">
        <f>vkm_2011_GW_PW*SUMIFS(TableVerdeelsleutelVkm[CNG],TableVerdeelsleutelVkm[Voertuigtype],"Lichte voertuigen")*SUMIFS(TableECFTransport[EnergieConsumptieFactor (PJ per km)],TableECFTransport[Index],CONCATENATE($A6,"_CNG_CNG"))</f>
        <v>6.5321068729092121E-4</v>
      </c>
      <c r="E6" s="962">
        <f>vkm_2011_GW_PW*SUMIFS(TableVerdeelsleutelVkm[LPG],TableVerdeelsleutelVkm[Voertuigtype],"Lichte voertuigen")*SUMIFS(TableECFTransport[EnergieConsumptieFactor (PJ per km)],TableECFTransport[Index],CONCATENATE($A6,"_LPG_LPG"))</f>
        <v>8.9237962793051856E-4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0.23072846446487816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7.4282204788047382E-2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1.5684886731530037E-2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0.32897609665869004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1.002476924120978E-4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1.9224270723404695E-2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6.9606394484758807E-5</v>
      </c>
      <c r="C8" s="449"/>
      <c r="D8" s="451">
        <f>vkm_2011_NGW_PW*SUMIFS(TableVerdeelsleutelVkm[CNG],TableVerdeelsleutelVkm[Voertuigtype],"Lichte voertuigen")*SUMIFS(TableECFTransport[EnergieConsumptieFactor (PJ per km)],TableECFTransport[Index],CONCATENATE($A8,"_CNG_CNG"))</f>
        <v>3.7121181512561634E-4</v>
      </c>
      <c r="E8" s="451">
        <f>vkm_2011_NGW_PW*SUMIFS(TableVerdeelsleutelVkm[LPG],TableVerdeelsleutelVkm[Voertuigtype],"Lichte voertuigen")*SUMIFS(TableECFTransport[EnergieConsumptieFactor (PJ per km)],TableECFTransport[Index],CONCATENATE($A8,"_LPG_LPG"))</f>
        <v>4.6965868629748805E-4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0.11316196815364404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4.1022458616960765E-2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7.8289308721062323E-3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9.0127662908306025E-2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2.5855241728447269E-5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5.2667136110494577E-3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8.7062301410524538E-5</v>
      </c>
      <c r="C10" s="449"/>
      <c r="D10" s="451">
        <f>vkm_2011_SW_PW*SUMIFS(TableVerdeelsleutelVkm[CNG],TableVerdeelsleutelVkm[Voertuigtype],"Lichte voertuigen")*SUMIFS(TableECFTransport[EnergieConsumptieFactor (PJ per km)],TableECFTransport[Index],CONCATENATE($A10,"_CNG_CNG"))</f>
        <v>2.731604304806361E-4</v>
      </c>
      <c r="E10" s="451">
        <f>vkm_2011_SW_PW*SUMIFS(TableVerdeelsleutelVkm[LPG],TableVerdeelsleutelVkm[Voertuigtype],"Lichte voertuigen")*SUMIFS(TableECFTransport[EnergieConsumptieFactor (PJ per km)],TableECFTransport[Index],CONCATENATE($A10,"_LPG_LPG"))</f>
        <v>4.6474545272225809E-4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0.10712487982513143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3.2358472433090771E-2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7.2191359016972913E-3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8.165813753497192E-2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2.6871322327037796E-5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4.7718893940472112E-3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104.01312671304007</v>
      </c>
      <c r="C14" s="21"/>
      <c r="D14" s="21">
        <f t="shared" ref="D14:M14" si="0">((D5)*10^9/3600)+D12</f>
        <v>360.43970358254819</v>
      </c>
      <c r="E14" s="21">
        <f t="shared" si="0"/>
        <v>507.43993526396235</v>
      </c>
      <c r="F14" s="21"/>
      <c r="G14" s="21">
        <f t="shared" si="0"/>
        <v>264382.55820711714</v>
      </c>
      <c r="H14" s="21">
        <f t="shared" si="0"/>
        <v>41060.030581824023</v>
      </c>
      <c r="I14" s="21"/>
      <c r="J14" s="21"/>
      <c r="K14" s="21"/>
      <c r="L14" s="21"/>
      <c r="M14" s="21">
        <f t="shared" si="0"/>
        <v>16665.507564954147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0.18383522225860199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19.121276267103852</v>
      </c>
      <c r="C18" s="23"/>
      <c r="D18" s="23">
        <f t="shared" ref="D18:M18" si="1">D14*D16</f>
        <v>72.808820123674735</v>
      </c>
      <c r="E18" s="23">
        <f t="shared" si="1"/>
        <v>115.18886530491946</v>
      </c>
      <c r="F18" s="23"/>
      <c r="G18" s="23">
        <f t="shared" si="1"/>
        <v>70590.143041300282</v>
      </c>
      <c r="H18" s="23">
        <f t="shared" si="1"/>
        <v>10223.947614874181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7.2870157054083845E-3</v>
      </c>
      <c r="H50" s="321">
        <f t="shared" si="2"/>
        <v>0</v>
      </c>
      <c r="I50" s="321">
        <f t="shared" si="2"/>
        <v>0</v>
      </c>
      <c r="J50" s="321">
        <f t="shared" si="2"/>
        <v>0</v>
      </c>
      <c r="K50" s="321">
        <f t="shared" si="2"/>
        <v>0</v>
      </c>
      <c r="L50" s="321">
        <f t="shared" si="2"/>
        <v>0</v>
      </c>
      <c r="M50" s="321">
        <f t="shared" si="2"/>
        <v>4.1387032297974917E-4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7.2870157054083845E-3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4.1387032297974917E-4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2024.1710292801067</v>
      </c>
      <c r="H54" s="21">
        <f t="shared" si="3"/>
        <v>0</v>
      </c>
      <c r="I54" s="21">
        <f t="shared" si="3"/>
        <v>0</v>
      </c>
      <c r="J54" s="21">
        <f t="shared" si="3"/>
        <v>0</v>
      </c>
      <c r="K54" s="21">
        <f t="shared" si="3"/>
        <v>0</v>
      </c>
      <c r="L54" s="21">
        <f t="shared" si="3"/>
        <v>0</v>
      </c>
      <c r="M54" s="21">
        <f t="shared" si="3"/>
        <v>114.96397860548588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0.18383522225860199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540.45366481778854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12917.651599259983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15798.963342427625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28716.614941687607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57082.933367886093</v>
      </c>
      <c r="D10" s="718">
        <f ca="1">tertiair!C16</f>
        <v>0</v>
      </c>
      <c r="E10" s="718">
        <f ca="1">tertiair!D16</f>
        <v>48486.601575735811</v>
      </c>
      <c r="F10" s="718">
        <f>tertiair!E16</f>
        <v>834.43197852996263</v>
      </c>
      <c r="G10" s="718">
        <f ca="1">tertiair!F16</f>
        <v>9739.9488430265392</v>
      </c>
      <c r="H10" s="718">
        <f>tertiair!G16</f>
        <v>0</v>
      </c>
      <c r="I10" s="718">
        <f>tertiair!H16</f>
        <v>0</v>
      </c>
      <c r="J10" s="718">
        <f>tertiair!I16</f>
        <v>0</v>
      </c>
      <c r="K10" s="718">
        <f>tertiair!J16</f>
        <v>0.10828629777548557</v>
      </c>
      <c r="L10" s="718">
        <f>tertiair!K16</f>
        <v>0</v>
      </c>
      <c r="M10" s="718">
        <f ca="1">tertiair!L16</f>
        <v>0</v>
      </c>
      <c r="N10" s="718">
        <f>tertiair!M16</f>
        <v>0</v>
      </c>
      <c r="O10" s="718">
        <f ca="1">tertiair!N16</f>
        <v>4322.2646645094455</v>
      </c>
      <c r="P10" s="718">
        <f>tertiair!O16</f>
        <v>1.5633333333333335</v>
      </c>
      <c r="Q10" s="719">
        <f>tertiair!P16</f>
        <v>57.2</v>
      </c>
      <c r="R10" s="721">
        <f ca="1">SUM(C10:Q10)</f>
        <v>120525.05204931895</v>
      </c>
      <c r="S10" s="67"/>
    </row>
    <row r="11" spans="1:19" s="474" customFormat="1">
      <c r="A11" s="870" t="s">
        <v>225</v>
      </c>
      <c r="B11" s="875"/>
      <c r="C11" s="718">
        <f>huishoudens!B8</f>
        <v>35443.678100401346</v>
      </c>
      <c r="D11" s="718">
        <f>huishoudens!C8</f>
        <v>0</v>
      </c>
      <c r="E11" s="718">
        <f>huishoudens!D8</f>
        <v>120131.59673820621</v>
      </c>
      <c r="F11" s="718">
        <f>huishoudens!E8</f>
        <v>1623.7142585753938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14346.189011439077</v>
      </c>
      <c r="P11" s="718">
        <f>huishoudens!O8</f>
        <v>198.54333333333332</v>
      </c>
      <c r="Q11" s="719">
        <f>huishoudens!P8</f>
        <v>1544.4</v>
      </c>
      <c r="R11" s="721">
        <f>SUM(C11:Q11)</f>
        <v>173288.12144195536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77823.630196409722</v>
      </c>
      <c r="D13" s="718">
        <f>industrie!C18</f>
        <v>0</v>
      </c>
      <c r="E13" s="718">
        <f>industrie!D18</f>
        <v>195362.1935686536</v>
      </c>
      <c r="F13" s="718">
        <f>industrie!E18</f>
        <v>4770.0656005797628</v>
      </c>
      <c r="G13" s="718">
        <f>industrie!F18</f>
        <v>16646.431816256612</v>
      </c>
      <c r="H13" s="718">
        <f>industrie!G18</f>
        <v>0</v>
      </c>
      <c r="I13" s="718">
        <f>industrie!H18</f>
        <v>0</v>
      </c>
      <c r="J13" s="718">
        <f>industrie!I18</f>
        <v>0</v>
      </c>
      <c r="K13" s="718">
        <f>industrie!J18</f>
        <v>258.83982294566476</v>
      </c>
      <c r="L13" s="718">
        <f>industrie!K18</f>
        <v>0</v>
      </c>
      <c r="M13" s="718">
        <f>industrie!L18</f>
        <v>0</v>
      </c>
      <c r="N13" s="718">
        <f>industrie!M18</f>
        <v>0</v>
      </c>
      <c r="O13" s="718">
        <f>industrie!N18</f>
        <v>17629.103060037902</v>
      </c>
      <c r="P13" s="718">
        <f>industrie!O18</f>
        <v>0</v>
      </c>
      <c r="Q13" s="719">
        <f>industrie!P18</f>
        <v>0</v>
      </c>
      <c r="R13" s="721">
        <f>SUM(C13:Q13)</f>
        <v>312490.26406488323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170350.24166469718</v>
      </c>
      <c r="D15" s="723">
        <f t="shared" ref="D15:Q15" ca="1" si="0">SUM(D9:D14)</f>
        <v>0</v>
      </c>
      <c r="E15" s="723">
        <f t="shared" ca="1" si="0"/>
        <v>363980.39188259561</v>
      </c>
      <c r="F15" s="723">
        <f t="shared" si="0"/>
        <v>7228.2118376851195</v>
      </c>
      <c r="G15" s="723">
        <f t="shared" ca="1" si="0"/>
        <v>26386.380659283153</v>
      </c>
      <c r="H15" s="723">
        <f t="shared" si="0"/>
        <v>0</v>
      </c>
      <c r="I15" s="723">
        <f t="shared" si="0"/>
        <v>0</v>
      </c>
      <c r="J15" s="723">
        <f t="shared" si="0"/>
        <v>0</v>
      </c>
      <c r="K15" s="723">
        <f t="shared" si="0"/>
        <v>258.94810924344023</v>
      </c>
      <c r="L15" s="723">
        <f t="shared" si="0"/>
        <v>0</v>
      </c>
      <c r="M15" s="723">
        <f t="shared" ca="1" si="0"/>
        <v>0</v>
      </c>
      <c r="N15" s="723">
        <f t="shared" si="0"/>
        <v>0</v>
      </c>
      <c r="O15" s="723">
        <f t="shared" ca="1" si="0"/>
        <v>36297.556735986422</v>
      </c>
      <c r="P15" s="723">
        <f t="shared" si="0"/>
        <v>200.10666666666665</v>
      </c>
      <c r="Q15" s="724">
        <f t="shared" si="0"/>
        <v>1601.6000000000001</v>
      </c>
      <c r="R15" s="725">
        <f ca="1">SUM(R9:R14)</f>
        <v>606303.43755615759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2024.1710292801067</v>
      </c>
      <c r="I18" s="718">
        <f>transport!H54</f>
        <v>0</v>
      </c>
      <c r="J18" s="718">
        <f>transport!I54</f>
        <v>0</v>
      </c>
      <c r="K18" s="718">
        <f>transport!J54</f>
        <v>0</v>
      </c>
      <c r="L18" s="718">
        <f>transport!K54</f>
        <v>0</v>
      </c>
      <c r="M18" s="718">
        <f>transport!L54</f>
        <v>0</v>
      </c>
      <c r="N18" s="718">
        <f>transport!M54</f>
        <v>114.96397860548588</v>
      </c>
      <c r="O18" s="718">
        <f>transport!N54</f>
        <v>0</v>
      </c>
      <c r="P18" s="718">
        <f>transport!O54</f>
        <v>0</v>
      </c>
      <c r="Q18" s="719">
        <f>transport!P54</f>
        <v>0</v>
      </c>
      <c r="R18" s="721">
        <f>SUM(C18:Q18)</f>
        <v>2139.1350078855926</v>
      </c>
      <c r="S18" s="67"/>
    </row>
    <row r="19" spans="1:19" s="474" customFormat="1" ht="15" thickBot="1">
      <c r="A19" s="870" t="s">
        <v>307</v>
      </c>
      <c r="B19" s="875"/>
      <c r="C19" s="727">
        <f>transport!B14</f>
        <v>104.01312671304007</v>
      </c>
      <c r="D19" s="727">
        <f>transport!C14</f>
        <v>0</v>
      </c>
      <c r="E19" s="727">
        <f>transport!D14</f>
        <v>360.43970358254819</v>
      </c>
      <c r="F19" s="727">
        <f>transport!E14</f>
        <v>507.43993526396235</v>
      </c>
      <c r="G19" s="727">
        <f>transport!F14</f>
        <v>0</v>
      </c>
      <c r="H19" s="727">
        <f>transport!G14</f>
        <v>264382.55820711714</v>
      </c>
      <c r="I19" s="727">
        <f>transport!H14</f>
        <v>41060.030581824023</v>
      </c>
      <c r="J19" s="727">
        <f>transport!I14</f>
        <v>0</v>
      </c>
      <c r="K19" s="727">
        <f>transport!J14</f>
        <v>0</v>
      </c>
      <c r="L19" s="727">
        <f>transport!K14</f>
        <v>0</v>
      </c>
      <c r="M19" s="727">
        <f>transport!L14</f>
        <v>0</v>
      </c>
      <c r="N19" s="727">
        <f>transport!M14</f>
        <v>16665.507564954147</v>
      </c>
      <c r="O19" s="727">
        <f>transport!N14</f>
        <v>0</v>
      </c>
      <c r="P19" s="727">
        <f>transport!O14</f>
        <v>0</v>
      </c>
      <c r="Q19" s="728">
        <f>transport!P14</f>
        <v>0</v>
      </c>
      <c r="R19" s="729">
        <f>SUM(C19:Q19)</f>
        <v>323079.98911945487</v>
      </c>
      <c r="S19" s="67"/>
    </row>
    <row r="20" spans="1:19" s="474" customFormat="1" ht="15.75" thickBot="1">
      <c r="A20" s="730" t="s">
        <v>230</v>
      </c>
      <c r="B20" s="878"/>
      <c r="C20" s="873">
        <f>SUM(C17:C19)</f>
        <v>104.01312671304007</v>
      </c>
      <c r="D20" s="731">
        <f t="shared" ref="D20:R20" si="1">SUM(D17:D19)</f>
        <v>0</v>
      </c>
      <c r="E20" s="731">
        <f t="shared" si="1"/>
        <v>360.43970358254819</v>
      </c>
      <c r="F20" s="731">
        <f t="shared" si="1"/>
        <v>507.43993526396235</v>
      </c>
      <c r="G20" s="731">
        <f t="shared" si="1"/>
        <v>0</v>
      </c>
      <c r="H20" s="731">
        <f t="shared" si="1"/>
        <v>266406.72923639725</v>
      </c>
      <c r="I20" s="731">
        <f t="shared" si="1"/>
        <v>41060.030581824023</v>
      </c>
      <c r="J20" s="731">
        <f t="shared" si="1"/>
        <v>0</v>
      </c>
      <c r="K20" s="731">
        <f t="shared" si="1"/>
        <v>0</v>
      </c>
      <c r="L20" s="731">
        <f t="shared" si="1"/>
        <v>0</v>
      </c>
      <c r="M20" s="731">
        <f t="shared" si="1"/>
        <v>0</v>
      </c>
      <c r="N20" s="731">
        <f t="shared" si="1"/>
        <v>16780.471543559634</v>
      </c>
      <c r="O20" s="731">
        <f t="shared" si="1"/>
        <v>0</v>
      </c>
      <c r="P20" s="731">
        <f t="shared" si="1"/>
        <v>0</v>
      </c>
      <c r="Q20" s="732">
        <f t="shared" si="1"/>
        <v>0</v>
      </c>
      <c r="R20" s="733">
        <f t="shared" si="1"/>
        <v>325219.12412734044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308.8248716146631</v>
      </c>
      <c r="D22" s="727">
        <f>+landbouw!C8</f>
        <v>0</v>
      </c>
      <c r="E22" s="727">
        <f>+landbouw!D8</f>
        <v>3877.6694566198375</v>
      </c>
      <c r="F22" s="727">
        <f>+landbouw!E8</f>
        <v>9.0773062367853452</v>
      </c>
      <c r="G22" s="727">
        <f>+landbouw!F8</f>
        <v>1286.5477271265395</v>
      </c>
      <c r="H22" s="727">
        <f>+landbouw!G8</f>
        <v>0</v>
      </c>
      <c r="I22" s="727">
        <f>+landbouw!H8</f>
        <v>0</v>
      </c>
      <c r="J22" s="727">
        <f>+landbouw!I8</f>
        <v>0</v>
      </c>
      <c r="K22" s="727">
        <f>+landbouw!J8</f>
        <v>44.742091806929963</v>
      </c>
      <c r="L22" s="727">
        <f>+landbouw!K8</f>
        <v>0</v>
      </c>
      <c r="M22" s="727">
        <f>+landbouw!L8</f>
        <v>0</v>
      </c>
      <c r="N22" s="727">
        <f>+landbouw!M8</f>
        <v>0</v>
      </c>
      <c r="O22" s="727">
        <f>+landbouw!N8</f>
        <v>0</v>
      </c>
      <c r="P22" s="727">
        <f>+landbouw!O8</f>
        <v>0</v>
      </c>
      <c r="Q22" s="728">
        <f>+landbouw!P8</f>
        <v>0</v>
      </c>
      <c r="R22" s="729">
        <f>SUM(C22:Q22)</f>
        <v>5526.8614534047547</v>
      </c>
      <c r="S22" s="67"/>
    </row>
    <row r="23" spans="1:19" s="474" customFormat="1" ht="17.25" thickTop="1" thickBot="1">
      <c r="A23" s="734" t="s">
        <v>116</v>
      </c>
      <c r="B23" s="864"/>
      <c r="C23" s="735">
        <f ca="1">C20+C15+C22</f>
        <v>170763.0796630249</v>
      </c>
      <c r="D23" s="735">
        <f t="shared" ref="D23:Q23" ca="1" si="2">D20+D15+D22</f>
        <v>0</v>
      </c>
      <c r="E23" s="735">
        <f t="shared" ca="1" si="2"/>
        <v>368218.50104279799</v>
      </c>
      <c r="F23" s="735">
        <f t="shared" si="2"/>
        <v>7744.7290791858668</v>
      </c>
      <c r="G23" s="735">
        <f t="shared" ca="1" si="2"/>
        <v>27672.928386409694</v>
      </c>
      <c r="H23" s="735">
        <f t="shared" si="2"/>
        <v>266406.72923639725</v>
      </c>
      <c r="I23" s="735">
        <f t="shared" si="2"/>
        <v>41060.030581824023</v>
      </c>
      <c r="J23" s="735">
        <f t="shared" si="2"/>
        <v>0</v>
      </c>
      <c r="K23" s="735">
        <f t="shared" si="2"/>
        <v>303.69020105037021</v>
      </c>
      <c r="L23" s="735">
        <f t="shared" si="2"/>
        <v>0</v>
      </c>
      <c r="M23" s="735">
        <f t="shared" ca="1" si="2"/>
        <v>0</v>
      </c>
      <c r="N23" s="735">
        <f t="shared" si="2"/>
        <v>16780.471543559634</v>
      </c>
      <c r="O23" s="735">
        <f t="shared" ca="1" si="2"/>
        <v>36297.556735986422</v>
      </c>
      <c r="P23" s="735">
        <f t="shared" si="2"/>
        <v>200.10666666666665</v>
      </c>
      <c r="Q23" s="736">
        <f t="shared" si="2"/>
        <v>1601.6000000000001</v>
      </c>
      <c r="R23" s="737">
        <f ca="1">R20+R15+R22</f>
        <v>937049.42313690286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10493.853742858309</v>
      </c>
      <c r="D36" s="718">
        <f ca="1">tertiair!C20</f>
        <v>0</v>
      </c>
      <c r="E36" s="718">
        <f ca="1">tertiair!D20</f>
        <v>9794.2935182986348</v>
      </c>
      <c r="F36" s="718">
        <f>tertiair!E20</f>
        <v>189.41605912630152</v>
      </c>
      <c r="G36" s="718">
        <f ca="1">tertiair!F20</f>
        <v>2600.5663410880861</v>
      </c>
      <c r="H36" s="718">
        <f>tertiair!G20</f>
        <v>0</v>
      </c>
      <c r="I36" s="718">
        <f>tertiair!H20</f>
        <v>0</v>
      </c>
      <c r="J36" s="718">
        <f>tertiair!I20</f>
        <v>0</v>
      </c>
      <c r="K36" s="718">
        <f>tertiair!J20</f>
        <v>3.8333349412521887E-2</v>
      </c>
      <c r="L36" s="718">
        <f>tertiair!K20</f>
        <v>0</v>
      </c>
      <c r="M36" s="718">
        <f ca="1">tertiair!L20</f>
        <v>0</v>
      </c>
      <c r="N36" s="718">
        <f>tertiair!M20</f>
        <v>0</v>
      </c>
      <c r="O36" s="718">
        <f ca="1">tertiair!N20</f>
        <v>0</v>
      </c>
      <c r="P36" s="718">
        <f>tertiair!O20</f>
        <v>0</v>
      </c>
      <c r="Q36" s="828">
        <f>tertiair!P20</f>
        <v>0</v>
      </c>
      <c r="R36" s="917">
        <f ca="1">SUM(C36:Q36)</f>
        <v>23078.167994720749</v>
      </c>
    </row>
    <row r="37" spans="1:18">
      <c r="A37" s="885" t="s">
        <v>225</v>
      </c>
      <c r="B37" s="892"/>
      <c r="C37" s="718">
        <f ca="1">huishoudens!B12</f>
        <v>6515.7964412496258</v>
      </c>
      <c r="D37" s="718">
        <f ca="1">huishoudens!C12</f>
        <v>0</v>
      </c>
      <c r="E37" s="718">
        <f>huishoudens!D12</f>
        <v>24266.582541117656</v>
      </c>
      <c r="F37" s="718">
        <f>huishoudens!E12</f>
        <v>368.58313669661442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31150.962119063897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14306.724354128231</v>
      </c>
      <c r="D39" s="718">
        <f ca="1">industrie!C22</f>
        <v>0</v>
      </c>
      <c r="E39" s="718">
        <f>industrie!D22</f>
        <v>39463.163100868027</v>
      </c>
      <c r="F39" s="718">
        <f>industrie!E22</f>
        <v>1082.8048913316061</v>
      </c>
      <c r="G39" s="718">
        <f>industrie!F22</f>
        <v>4444.5972949405159</v>
      </c>
      <c r="H39" s="718">
        <f>industrie!G22</f>
        <v>0</v>
      </c>
      <c r="I39" s="718">
        <f>industrie!H22</f>
        <v>0</v>
      </c>
      <c r="J39" s="718">
        <f>industrie!I22</f>
        <v>0</v>
      </c>
      <c r="K39" s="718">
        <f>industrie!J22</f>
        <v>91.629297322765325</v>
      </c>
      <c r="L39" s="718">
        <f>industrie!K22</f>
        <v>0</v>
      </c>
      <c r="M39" s="718">
        <f>industrie!L22</f>
        <v>0</v>
      </c>
      <c r="N39" s="718">
        <f>industrie!M22</f>
        <v>0</v>
      </c>
      <c r="O39" s="718">
        <f>industrie!N22</f>
        <v>0</v>
      </c>
      <c r="P39" s="718">
        <f>industrie!O22</f>
        <v>0</v>
      </c>
      <c r="Q39" s="828">
        <f>industrie!P22</f>
        <v>0</v>
      </c>
      <c r="R39" s="918">
        <f ca="1">SUM(C39:Q39)</f>
        <v>59388.918938591152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31316.374538236167</v>
      </c>
      <c r="D41" s="763">
        <f t="shared" ref="D41:R41" ca="1" si="4">SUM(D35:D40)</f>
        <v>0</v>
      </c>
      <c r="E41" s="763">
        <f t="shared" ca="1" si="4"/>
        <v>73524.039160284316</v>
      </c>
      <c r="F41" s="763">
        <f t="shared" si="4"/>
        <v>1640.804087154522</v>
      </c>
      <c r="G41" s="763">
        <f t="shared" ca="1" si="4"/>
        <v>7045.163636028602</v>
      </c>
      <c r="H41" s="763">
        <f t="shared" si="4"/>
        <v>0</v>
      </c>
      <c r="I41" s="763">
        <f t="shared" si="4"/>
        <v>0</v>
      </c>
      <c r="J41" s="763">
        <f t="shared" si="4"/>
        <v>0</v>
      </c>
      <c r="K41" s="763">
        <f t="shared" si="4"/>
        <v>91.66763067217785</v>
      </c>
      <c r="L41" s="763">
        <f t="shared" si="4"/>
        <v>0</v>
      </c>
      <c r="M41" s="763">
        <f t="shared" ca="1" si="4"/>
        <v>0</v>
      </c>
      <c r="N41" s="763">
        <f t="shared" si="4"/>
        <v>0</v>
      </c>
      <c r="O41" s="763">
        <f t="shared" ca="1" si="4"/>
        <v>0</v>
      </c>
      <c r="P41" s="763">
        <f t="shared" si="4"/>
        <v>0</v>
      </c>
      <c r="Q41" s="764">
        <f t="shared" si="4"/>
        <v>0</v>
      </c>
      <c r="R41" s="765">
        <f t="shared" ca="1" si="4"/>
        <v>113618.04905237581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540.45366481778854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540.45366481778854</v>
      </c>
    </row>
    <row r="45" spans="1:18" ht="15" thickBot="1">
      <c r="A45" s="888" t="s">
        <v>307</v>
      </c>
      <c r="B45" s="898"/>
      <c r="C45" s="727">
        <f ca="1">transport!B18</f>
        <v>19.121276267103852</v>
      </c>
      <c r="D45" s="727">
        <f>transport!C18</f>
        <v>0</v>
      </c>
      <c r="E45" s="727">
        <f>transport!D18</f>
        <v>72.808820123674735</v>
      </c>
      <c r="F45" s="727">
        <f>transport!E18</f>
        <v>115.18886530491946</v>
      </c>
      <c r="G45" s="727">
        <f>transport!F18</f>
        <v>0</v>
      </c>
      <c r="H45" s="727">
        <f>transport!G18</f>
        <v>70590.143041300282</v>
      </c>
      <c r="I45" s="727">
        <f>transport!H18</f>
        <v>10223.947614874181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81021.209617870161</v>
      </c>
    </row>
    <row r="46" spans="1:18" ht="15.75" thickBot="1">
      <c r="A46" s="886" t="s">
        <v>230</v>
      </c>
      <c r="B46" s="899"/>
      <c r="C46" s="763">
        <f t="shared" ref="C46:R46" ca="1" si="5">SUM(C43:C45)</f>
        <v>19.121276267103852</v>
      </c>
      <c r="D46" s="763">
        <f t="shared" ca="1" si="5"/>
        <v>0</v>
      </c>
      <c r="E46" s="763">
        <f t="shared" si="5"/>
        <v>72.808820123674735</v>
      </c>
      <c r="F46" s="763">
        <f t="shared" si="5"/>
        <v>115.18886530491946</v>
      </c>
      <c r="G46" s="763">
        <f t="shared" si="5"/>
        <v>0</v>
      </c>
      <c r="H46" s="763">
        <f t="shared" si="5"/>
        <v>71130.596706118071</v>
      </c>
      <c r="I46" s="763">
        <f t="shared" si="5"/>
        <v>10223.947614874181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81561.66328268795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56.772888912265813</v>
      </c>
      <c r="D48" s="718">
        <f ca="1">+landbouw!C12</f>
        <v>0</v>
      </c>
      <c r="E48" s="718">
        <f>+landbouw!D12</f>
        <v>783.28923023720722</v>
      </c>
      <c r="F48" s="718">
        <f>+landbouw!E12</f>
        <v>2.0605485157502734</v>
      </c>
      <c r="G48" s="718">
        <f>+landbouw!F12</f>
        <v>343.50824314278606</v>
      </c>
      <c r="H48" s="718">
        <f>+landbouw!G12</f>
        <v>0</v>
      </c>
      <c r="I48" s="718">
        <f>+landbouw!H12</f>
        <v>0</v>
      </c>
      <c r="J48" s="718">
        <f>+landbouw!I12</f>
        <v>0</v>
      </c>
      <c r="K48" s="718">
        <f>+landbouw!J12</f>
        <v>15.838700499653205</v>
      </c>
      <c r="L48" s="718">
        <f>+landbouw!K12</f>
        <v>0</v>
      </c>
      <c r="M48" s="718">
        <f>+landbouw!L12</f>
        <v>0</v>
      </c>
      <c r="N48" s="718">
        <f>+landbouw!M12</f>
        <v>0</v>
      </c>
      <c r="O48" s="718">
        <f>+landbouw!N12</f>
        <v>0</v>
      </c>
      <c r="P48" s="718">
        <f>+landbouw!O12</f>
        <v>0</v>
      </c>
      <c r="Q48" s="719">
        <f>+landbouw!P12</f>
        <v>0</v>
      </c>
      <c r="R48" s="761">
        <f ca="1">SUM(C48:Q48)</f>
        <v>1201.4696113076625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31392.268703415535</v>
      </c>
      <c r="D53" s="773">
        <f t="shared" ref="D53:Q53" ca="1" si="6">D41+D46+D48</f>
        <v>0</v>
      </c>
      <c r="E53" s="773">
        <f t="shared" ca="1" si="6"/>
        <v>74380.137210645189</v>
      </c>
      <c r="F53" s="773">
        <f t="shared" si="6"/>
        <v>1758.0535009751918</v>
      </c>
      <c r="G53" s="773">
        <f t="shared" ca="1" si="6"/>
        <v>7388.6718791713884</v>
      </c>
      <c r="H53" s="773">
        <f t="shared" si="6"/>
        <v>71130.596706118071</v>
      </c>
      <c r="I53" s="773">
        <f t="shared" si="6"/>
        <v>10223.947614874181</v>
      </c>
      <c r="J53" s="773">
        <f t="shared" si="6"/>
        <v>0</v>
      </c>
      <c r="K53" s="773">
        <f t="shared" si="6"/>
        <v>107.50633117183105</v>
      </c>
      <c r="L53" s="773">
        <f t="shared" si="6"/>
        <v>0</v>
      </c>
      <c r="M53" s="773">
        <f t="shared" ca="1" si="6"/>
        <v>0</v>
      </c>
      <c r="N53" s="773">
        <f t="shared" si="6"/>
        <v>0</v>
      </c>
      <c r="O53" s="773">
        <f t="shared" ca="1" si="6"/>
        <v>0</v>
      </c>
      <c r="P53" s="773">
        <f>P41+P46+P48</f>
        <v>0</v>
      </c>
      <c r="Q53" s="774">
        <f t="shared" si="6"/>
        <v>0</v>
      </c>
      <c r="R53" s="775">
        <f ca="1">R41+R46+R48</f>
        <v>196381.18194637142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0.18383522225860197</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12917.651599259983</v>
      </c>
      <c r="C64" s="795">
        <f>'lokale energieproductie'!B4</f>
        <v>12917.651599259983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15798.963342427625</v>
      </c>
      <c r="C66" s="795">
        <f>'lokale energieproductie'!B6</f>
        <v>15798.963342427625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28716.614941687607</v>
      </c>
      <c r="C69" s="803">
        <f>SUM(C64:C68)</f>
        <v>28716.614941687607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35443.678100401346</v>
      </c>
      <c r="C4" s="478">
        <f>huishoudens!C8</f>
        <v>0</v>
      </c>
      <c r="D4" s="478">
        <f>huishoudens!D8</f>
        <v>120131.59673820621</v>
      </c>
      <c r="E4" s="478">
        <f>huishoudens!E8</f>
        <v>1623.7142585753938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14346.189011439077</v>
      </c>
      <c r="O4" s="478">
        <f>huishoudens!O8</f>
        <v>198.54333333333332</v>
      </c>
      <c r="P4" s="479">
        <f>huishoudens!P8</f>
        <v>1544.4</v>
      </c>
      <c r="Q4" s="480">
        <f>SUM(B4:P4)</f>
        <v>173288.12144195536</v>
      </c>
    </row>
    <row r="5" spans="1:17">
      <c r="A5" s="477" t="s">
        <v>156</v>
      </c>
      <c r="B5" s="478">
        <f ca="1">tertiair!B16</f>
        <v>55498.108367886096</v>
      </c>
      <c r="C5" s="478">
        <f ca="1">tertiair!C16</f>
        <v>0</v>
      </c>
      <c r="D5" s="478">
        <f ca="1">tertiair!D16</f>
        <v>48486.601575735811</v>
      </c>
      <c r="E5" s="478">
        <f>tertiair!E16</f>
        <v>834.43197852996263</v>
      </c>
      <c r="F5" s="478">
        <f ca="1">tertiair!F16</f>
        <v>9739.9488430265392</v>
      </c>
      <c r="G5" s="478">
        <f>tertiair!G16</f>
        <v>0</v>
      </c>
      <c r="H5" s="478">
        <f>tertiair!H16</f>
        <v>0</v>
      </c>
      <c r="I5" s="478">
        <f>tertiair!I16</f>
        <v>0</v>
      </c>
      <c r="J5" s="478">
        <f>tertiair!J16</f>
        <v>0.10828629777548557</v>
      </c>
      <c r="K5" s="478">
        <f>tertiair!K16</f>
        <v>0</v>
      </c>
      <c r="L5" s="478">
        <f ca="1">tertiair!L16</f>
        <v>0</v>
      </c>
      <c r="M5" s="478">
        <f>tertiair!M16</f>
        <v>0</v>
      </c>
      <c r="N5" s="478">
        <f ca="1">tertiair!N16</f>
        <v>4322.2646645094455</v>
      </c>
      <c r="O5" s="478">
        <f>tertiair!O16</f>
        <v>1.5633333333333335</v>
      </c>
      <c r="P5" s="479">
        <f>tertiair!P16</f>
        <v>57.2</v>
      </c>
      <c r="Q5" s="477">
        <f t="shared" ref="Q5:Q13" ca="1" si="0">SUM(B5:P5)</f>
        <v>118940.22704931897</v>
      </c>
    </row>
    <row r="6" spans="1:17">
      <c r="A6" s="477" t="s">
        <v>194</v>
      </c>
      <c r="B6" s="478">
        <f>'openbare verlichting'!B8</f>
        <v>1584.825</v>
      </c>
      <c r="C6" s="478"/>
      <c r="D6" s="478"/>
      <c r="E6" s="478"/>
      <c r="F6" s="478"/>
      <c r="G6" s="478"/>
      <c r="H6" s="478"/>
      <c r="I6" s="478"/>
      <c r="J6" s="478"/>
      <c r="K6" s="478"/>
      <c r="L6" s="478"/>
      <c r="M6" s="478"/>
      <c r="N6" s="478"/>
      <c r="O6" s="478"/>
      <c r="P6" s="479"/>
      <c r="Q6" s="477">
        <f t="shared" si="0"/>
        <v>1584.825</v>
      </c>
    </row>
    <row r="7" spans="1:17">
      <c r="A7" s="477" t="s">
        <v>112</v>
      </c>
      <c r="B7" s="478">
        <f>landbouw!B8</f>
        <v>308.8248716146631</v>
      </c>
      <c r="C7" s="478">
        <f>landbouw!C8</f>
        <v>0</v>
      </c>
      <c r="D7" s="478">
        <f>landbouw!D8</f>
        <v>3877.6694566198375</v>
      </c>
      <c r="E7" s="478">
        <f>landbouw!E8</f>
        <v>9.0773062367853452</v>
      </c>
      <c r="F7" s="478">
        <f>landbouw!F8</f>
        <v>1286.5477271265395</v>
      </c>
      <c r="G7" s="478">
        <f>landbouw!G8</f>
        <v>0</v>
      </c>
      <c r="H7" s="478">
        <f>landbouw!H8</f>
        <v>0</v>
      </c>
      <c r="I7" s="478">
        <f>landbouw!I8</f>
        <v>0</v>
      </c>
      <c r="J7" s="478">
        <f>landbouw!J8</f>
        <v>44.742091806929963</v>
      </c>
      <c r="K7" s="478">
        <f>landbouw!K8</f>
        <v>0</v>
      </c>
      <c r="L7" s="478">
        <f>landbouw!L8</f>
        <v>0</v>
      </c>
      <c r="M7" s="478">
        <f>landbouw!M8</f>
        <v>0</v>
      </c>
      <c r="N7" s="478">
        <f>landbouw!N8</f>
        <v>0</v>
      </c>
      <c r="O7" s="478">
        <f>landbouw!O8</f>
        <v>0</v>
      </c>
      <c r="P7" s="479">
        <f>landbouw!P8</f>
        <v>0</v>
      </c>
      <c r="Q7" s="477">
        <f t="shared" si="0"/>
        <v>5526.8614534047547</v>
      </c>
    </row>
    <row r="8" spans="1:17">
      <c r="A8" s="477" t="s">
        <v>635</v>
      </c>
      <c r="B8" s="478">
        <f>industrie!B18</f>
        <v>77823.630196409722</v>
      </c>
      <c r="C8" s="478">
        <f>industrie!C18</f>
        <v>0</v>
      </c>
      <c r="D8" s="478">
        <f>industrie!D18</f>
        <v>195362.1935686536</v>
      </c>
      <c r="E8" s="478">
        <f>industrie!E18</f>
        <v>4770.0656005797628</v>
      </c>
      <c r="F8" s="478">
        <f>industrie!F18</f>
        <v>16646.431816256612</v>
      </c>
      <c r="G8" s="478">
        <f>industrie!G18</f>
        <v>0</v>
      </c>
      <c r="H8" s="478">
        <f>industrie!H18</f>
        <v>0</v>
      </c>
      <c r="I8" s="478">
        <f>industrie!I18</f>
        <v>0</v>
      </c>
      <c r="J8" s="478">
        <f>industrie!J18</f>
        <v>258.83982294566476</v>
      </c>
      <c r="K8" s="478">
        <f>industrie!K18</f>
        <v>0</v>
      </c>
      <c r="L8" s="478">
        <f>industrie!L18</f>
        <v>0</v>
      </c>
      <c r="M8" s="478">
        <f>industrie!M18</f>
        <v>0</v>
      </c>
      <c r="N8" s="478">
        <f>industrie!N18</f>
        <v>17629.103060037902</v>
      </c>
      <c r="O8" s="478">
        <f>industrie!O18</f>
        <v>0</v>
      </c>
      <c r="P8" s="479">
        <f>industrie!P18</f>
        <v>0</v>
      </c>
      <c r="Q8" s="477">
        <f t="shared" si="0"/>
        <v>312490.26406488323</v>
      </c>
    </row>
    <row r="9" spans="1:17" s="483" customFormat="1">
      <c r="A9" s="481" t="s">
        <v>561</v>
      </c>
      <c r="B9" s="482">
        <f>transport!B14</f>
        <v>104.01312671304007</v>
      </c>
      <c r="C9" s="482"/>
      <c r="D9" s="482">
        <f>transport!D14</f>
        <v>360.43970358254819</v>
      </c>
      <c r="E9" s="482">
        <f>transport!E14</f>
        <v>507.43993526396235</v>
      </c>
      <c r="F9" s="482"/>
      <c r="G9" s="482">
        <f>transport!G14</f>
        <v>264382.55820711714</v>
      </c>
      <c r="H9" s="482">
        <f>transport!H14</f>
        <v>41060.030581824023</v>
      </c>
      <c r="I9" s="482"/>
      <c r="J9" s="482"/>
      <c r="K9" s="482"/>
      <c r="L9" s="482"/>
      <c r="M9" s="482">
        <f>transport!M14</f>
        <v>16665.507564954147</v>
      </c>
      <c r="N9" s="482"/>
      <c r="O9" s="482"/>
      <c r="P9" s="482"/>
      <c r="Q9" s="481">
        <f>SUM(B9:P9)</f>
        <v>323079.98911945487</v>
      </c>
    </row>
    <row r="10" spans="1:17">
      <c r="A10" s="477" t="s">
        <v>551</v>
      </c>
      <c r="B10" s="478">
        <f>transport!B54</f>
        <v>0</v>
      </c>
      <c r="C10" s="478"/>
      <c r="D10" s="478">
        <f>transport!D54</f>
        <v>0</v>
      </c>
      <c r="E10" s="478"/>
      <c r="F10" s="478"/>
      <c r="G10" s="478">
        <f>transport!G54</f>
        <v>2024.1710292801067</v>
      </c>
      <c r="H10" s="478"/>
      <c r="I10" s="478"/>
      <c r="J10" s="478"/>
      <c r="K10" s="478"/>
      <c r="L10" s="478"/>
      <c r="M10" s="478">
        <f>transport!M54</f>
        <v>114.96397860548588</v>
      </c>
      <c r="N10" s="478"/>
      <c r="O10" s="478"/>
      <c r="P10" s="479"/>
      <c r="Q10" s="477">
        <f t="shared" si="0"/>
        <v>2139.1350078855926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170763.07966302487</v>
      </c>
      <c r="C14" s="488">
        <f t="shared" ref="C14:Q14" ca="1" si="1">SUM(C4:C13)</f>
        <v>0</v>
      </c>
      <c r="D14" s="488">
        <f t="shared" ca="1" si="1"/>
        <v>368218.50104279799</v>
      </c>
      <c r="E14" s="488">
        <f t="shared" si="1"/>
        <v>7744.7290791858668</v>
      </c>
      <c r="F14" s="488">
        <f t="shared" ca="1" si="1"/>
        <v>27672.928386409691</v>
      </c>
      <c r="G14" s="488">
        <f t="shared" si="1"/>
        <v>266406.72923639725</v>
      </c>
      <c r="H14" s="488">
        <f t="shared" si="1"/>
        <v>41060.030581824023</v>
      </c>
      <c r="I14" s="488">
        <f t="shared" si="1"/>
        <v>0</v>
      </c>
      <c r="J14" s="488">
        <f t="shared" si="1"/>
        <v>303.69020105037021</v>
      </c>
      <c r="K14" s="488">
        <f t="shared" si="1"/>
        <v>0</v>
      </c>
      <c r="L14" s="488">
        <f t="shared" ca="1" si="1"/>
        <v>0</v>
      </c>
      <c r="M14" s="488">
        <f t="shared" si="1"/>
        <v>16780.471543559634</v>
      </c>
      <c r="N14" s="488">
        <f t="shared" ca="1" si="1"/>
        <v>36297.556735986422</v>
      </c>
      <c r="O14" s="488">
        <f t="shared" si="1"/>
        <v>200.10666666666665</v>
      </c>
      <c r="P14" s="489">
        <f t="shared" si="1"/>
        <v>1601.6000000000001</v>
      </c>
      <c r="Q14" s="489">
        <f t="shared" ca="1" si="1"/>
        <v>937049.42313690286</v>
      </c>
    </row>
    <row r="16" spans="1:17">
      <c r="A16" s="491" t="s">
        <v>556</v>
      </c>
      <c r="B16" s="841">
        <f ca="1">huishoudens!B10</f>
        <v>0.18383522225860199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6515.7964412496258</v>
      </c>
      <c r="C21" s="478">
        <f t="shared" ref="C21:C28" ca="1" si="3">C4*$C$16</f>
        <v>0</v>
      </c>
      <c r="D21" s="478">
        <f t="shared" ref="D21:D30" si="4">D4*$D$16</f>
        <v>24266.582541117656</v>
      </c>
      <c r="E21" s="478">
        <f t="shared" ref="E21:E30" si="5">E4*$E$16</f>
        <v>368.58313669661442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31150.962119063897</v>
      </c>
    </row>
    <row r="22" spans="1:17">
      <c r="A22" s="477" t="s">
        <v>156</v>
      </c>
      <c r="B22" s="478">
        <f t="shared" ca="1" si="2"/>
        <v>10202.50708674232</v>
      </c>
      <c r="C22" s="478">
        <f t="shared" ca="1" si="3"/>
        <v>0</v>
      </c>
      <c r="D22" s="478">
        <f t="shared" ca="1" si="4"/>
        <v>9794.2935182986348</v>
      </c>
      <c r="E22" s="478">
        <f t="shared" si="5"/>
        <v>189.41605912630152</v>
      </c>
      <c r="F22" s="478">
        <f t="shared" ca="1" si="6"/>
        <v>2600.5663410880861</v>
      </c>
      <c r="G22" s="478">
        <f t="shared" si="7"/>
        <v>0</v>
      </c>
      <c r="H22" s="478">
        <f t="shared" si="8"/>
        <v>0</v>
      </c>
      <c r="I22" s="478">
        <f t="shared" si="9"/>
        <v>0</v>
      </c>
      <c r="J22" s="478">
        <f t="shared" si="10"/>
        <v>3.8333349412521887E-2</v>
      </c>
      <c r="K22" s="478">
        <f t="shared" si="11"/>
        <v>0</v>
      </c>
      <c r="L22" s="478">
        <f t="shared" ca="1" si="12"/>
        <v>0</v>
      </c>
      <c r="M22" s="478">
        <f t="shared" si="13"/>
        <v>0</v>
      </c>
      <c r="N22" s="478">
        <f t="shared" ca="1" si="14"/>
        <v>0</v>
      </c>
      <c r="O22" s="478">
        <f t="shared" si="15"/>
        <v>0</v>
      </c>
      <c r="P22" s="479">
        <f t="shared" si="16"/>
        <v>0</v>
      </c>
      <c r="Q22" s="477">
        <f t="shared" ref="Q22:Q30" ca="1" si="17">SUM(B22:P22)</f>
        <v>22786.821338604754</v>
      </c>
    </row>
    <row r="23" spans="1:17">
      <c r="A23" s="477" t="s">
        <v>194</v>
      </c>
      <c r="B23" s="478">
        <f t="shared" ca="1" si="2"/>
        <v>291.34665611598894</v>
      </c>
      <c r="C23" s="478"/>
      <c r="D23" s="478"/>
      <c r="E23" s="478"/>
      <c r="F23" s="478"/>
      <c r="G23" s="478"/>
      <c r="H23" s="478"/>
      <c r="I23" s="478"/>
      <c r="J23" s="478"/>
      <c r="K23" s="478"/>
      <c r="L23" s="478"/>
      <c r="M23" s="478"/>
      <c r="N23" s="478"/>
      <c r="O23" s="478"/>
      <c r="P23" s="479"/>
      <c r="Q23" s="477">
        <f t="shared" ca="1" si="17"/>
        <v>291.34665611598894</v>
      </c>
    </row>
    <row r="24" spans="1:17">
      <c r="A24" s="477" t="s">
        <v>112</v>
      </c>
      <c r="B24" s="478">
        <f t="shared" ca="1" si="2"/>
        <v>56.772888912265813</v>
      </c>
      <c r="C24" s="478">
        <f t="shared" ca="1" si="3"/>
        <v>0</v>
      </c>
      <c r="D24" s="478">
        <f t="shared" si="4"/>
        <v>783.28923023720722</v>
      </c>
      <c r="E24" s="478">
        <f t="shared" si="5"/>
        <v>2.0605485157502734</v>
      </c>
      <c r="F24" s="478">
        <f t="shared" si="6"/>
        <v>343.50824314278606</v>
      </c>
      <c r="G24" s="478">
        <f t="shared" si="7"/>
        <v>0</v>
      </c>
      <c r="H24" s="478">
        <f t="shared" si="8"/>
        <v>0</v>
      </c>
      <c r="I24" s="478">
        <f t="shared" si="9"/>
        <v>0</v>
      </c>
      <c r="J24" s="478">
        <f t="shared" si="10"/>
        <v>15.838700499653205</v>
      </c>
      <c r="K24" s="478">
        <f t="shared" si="11"/>
        <v>0</v>
      </c>
      <c r="L24" s="478">
        <f t="shared" si="12"/>
        <v>0</v>
      </c>
      <c r="M24" s="478">
        <f t="shared" si="13"/>
        <v>0</v>
      </c>
      <c r="N24" s="478">
        <f t="shared" si="14"/>
        <v>0</v>
      </c>
      <c r="O24" s="478">
        <f t="shared" si="15"/>
        <v>0</v>
      </c>
      <c r="P24" s="479">
        <f t="shared" si="16"/>
        <v>0</v>
      </c>
      <c r="Q24" s="477">
        <f t="shared" ca="1" si="17"/>
        <v>1201.4696113076625</v>
      </c>
    </row>
    <row r="25" spans="1:17">
      <c r="A25" s="477" t="s">
        <v>635</v>
      </c>
      <c r="B25" s="478">
        <f t="shared" ca="1" si="2"/>
        <v>14306.724354128231</v>
      </c>
      <c r="C25" s="478">
        <f t="shared" ca="1" si="3"/>
        <v>0</v>
      </c>
      <c r="D25" s="478">
        <f t="shared" si="4"/>
        <v>39463.163100868027</v>
      </c>
      <c r="E25" s="478">
        <f t="shared" si="5"/>
        <v>1082.8048913316061</v>
      </c>
      <c r="F25" s="478">
        <f t="shared" si="6"/>
        <v>4444.5972949405159</v>
      </c>
      <c r="G25" s="478">
        <f t="shared" si="7"/>
        <v>0</v>
      </c>
      <c r="H25" s="478">
        <f t="shared" si="8"/>
        <v>0</v>
      </c>
      <c r="I25" s="478">
        <f t="shared" si="9"/>
        <v>0</v>
      </c>
      <c r="J25" s="478">
        <f t="shared" si="10"/>
        <v>91.629297322765325</v>
      </c>
      <c r="K25" s="478">
        <f t="shared" si="11"/>
        <v>0</v>
      </c>
      <c r="L25" s="478">
        <f t="shared" si="12"/>
        <v>0</v>
      </c>
      <c r="M25" s="478">
        <f t="shared" si="13"/>
        <v>0</v>
      </c>
      <c r="N25" s="478">
        <f t="shared" si="14"/>
        <v>0</v>
      </c>
      <c r="O25" s="478">
        <f t="shared" si="15"/>
        <v>0</v>
      </c>
      <c r="P25" s="479">
        <f t="shared" si="16"/>
        <v>0</v>
      </c>
      <c r="Q25" s="477">
        <f t="shared" ca="1" si="17"/>
        <v>59388.918938591152</v>
      </c>
    </row>
    <row r="26" spans="1:17" s="483" customFormat="1">
      <c r="A26" s="481" t="s">
        <v>561</v>
      </c>
      <c r="B26" s="835">
        <f t="shared" ca="1" si="2"/>
        <v>19.121276267103852</v>
      </c>
      <c r="C26" s="482"/>
      <c r="D26" s="482">
        <f t="shared" si="4"/>
        <v>72.808820123674735</v>
      </c>
      <c r="E26" s="482">
        <f t="shared" si="5"/>
        <v>115.18886530491946</v>
      </c>
      <c r="F26" s="482"/>
      <c r="G26" s="482">
        <f t="shared" si="7"/>
        <v>70590.143041300282</v>
      </c>
      <c r="H26" s="482">
        <f t="shared" si="8"/>
        <v>10223.947614874181</v>
      </c>
      <c r="I26" s="482"/>
      <c r="J26" s="482"/>
      <c r="K26" s="482"/>
      <c r="L26" s="482"/>
      <c r="M26" s="482">
        <f t="shared" si="13"/>
        <v>0</v>
      </c>
      <c r="N26" s="482"/>
      <c r="O26" s="482"/>
      <c r="P26" s="493"/>
      <c r="Q26" s="481">
        <f t="shared" ca="1" si="17"/>
        <v>81021.209617870161</v>
      </c>
    </row>
    <row r="27" spans="1:17">
      <c r="A27" s="477" t="s">
        <v>551</v>
      </c>
      <c r="B27" s="478">
        <f t="shared" ca="1" si="2"/>
        <v>0</v>
      </c>
      <c r="C27" s="478"/>
      <c r="D27" s="482">
        <f t="shared" si="4"/>
        <v>0</v>
      </c>
      <c r="E27" s="478"/>
      <c r="F27" s="478"/>
      <c r="G27" s="478">
        <f t="shared" si="7"/>
        <v>540.45366481778854</v>
      </c>
      <c r="H27" s="478"/>
      <c r="I27" s="478"/>
      <c r="J27" s="478"/>
      <c r="K27" s="478"/>
      <c r="L27" s="478"/>
      <c r="M27" s="478">
        <f t="shared" si="13"/>
        <v>0</v>
      </c>
      <c r="N27" s="478"/>
      <c r="O27" s="478"/>
      <c r="P27" s="479"/>
      <c r="Q27" s="477">
        <f t="shared" ca="1" si="17"/>
        <v>540.45366481778854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31392.268703415535</v>
      </c>
      <c r="C31" s="488">
        <f t="shared" ca="1" si="18"/>
        <v>0</v>
      </c>
      <c r="D31" s="488">
        <f t="shared" ca="1" si="18"/>
        <v>74380.137210645189</v>
      </c>
      <c r="E31" s="488">
        <f t="shared" si="18"/>
        <v>1758.0535009751918</v>
      </c>
      <c r="F31" s="488">
        <f t="shared" ca="1" si="18"/>
        <v>7388.6718791713884</v>
      </c>
      <c r="G31" s="488">
        <f t="shared" si="18"/>
        <v>71130.596706118071</v>
      </c>
      <c r="H31" s="488">
        <f t="shared" si="18"/>
        <v>10223.947614874181</v>
      </c>
      <c r="I31" s="488">
        <f t="shared" si="18"/>
        <v>0</v>
      </c>
      <c r="J31" s="488">
        <f t="shared" si="18"/>
        <v>107.50633117183105</v>
      </c>
      <c r="K31" s="488">
        <f t="shared" si="18"/>
        <v>0</v>
      </c>
      <c r="L31" s="488">
        <f t="shared" ca="1" si="18"/>
        <v>0</v>
      </c>
      <c r="M31" s="488">
        <f t="shared" si="18"/>
        <v>0</v>
      </c>
      <c r="N31" s="488">
        <f t="shared" ca="1" si="18"/>
        <v>0</v>
      </c>
      <c r="O31" s="488">
        <f t="shared" si="18"/>
        <v>0</v>
      </c>
      <c r="P31" s="489">
        <f t="shared" si="18"/>
        <v>0</v>
      </c>
      <c r="Q31" s="489">
        <f t="shared" ca="1" si="18"/>
        <v>196381.18194637139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0.18383522225860199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0.18383522225860199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0.18383522225860199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2019-01-01T21:17:28Z</dcterms:modified>
</cp:coreProperties>
</file>