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J67" i="14"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B22" i="6"/>
  <c r="C29" i="20" s="1"/>
  <c r="I9" i="18"/>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7" i="49"/>
  <c r="C56" i="22"/>
  <c r="C58" s="1"/>
  <c r="D44" i="14" s="1"/>
  <c r="D46" s="1"/>
  <c r="Q4" i="48"/>
  <c r="N22"/>
  <c r="R11" i="14"/>
  <c r="J21" i="48"/>
  <c r="C10" i="13" l="1"/>
  <c r="C16" i="48" s="1"/>
  <c r="C18" i="15"/>
  <c r="C20" s="1"/>
  <c r="D36" i="14" s="1"/>
  <c r="C20" i="16"/>
  <c r="C22" s="1"/>
  <c r="D39" i="14" s="1"/>
  <c r="Q5" i="48"/>
  <c r="C16" i="22"/>
  <c r="C17" i="19"/>
  <c r="C19" s="1"/>
  <c r="D35" i="14" s="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F25" i="48"/>
  <c r="F31" s="1"/>
  <c r="F14"/>
  <c r="C12" i="13" l="1"/>
  <c r="D37" i="14" s="1"/>
  <c r="D41" s="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<sst xmlns="http://schemas.openxmlformats.org/spreadsheetml/2006/main" count="2351" uniqueCount="934">
  <si>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</si>
  <si>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</si>
  <si>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</si>
  <si>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</si>
  <si>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</si>
  <si>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</si>
  <si>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</si>
  <si>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</si>
  <si>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</si>
  <si>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</si>
  <si>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</si>
  <si>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</si>
  <si>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</si>
  <si>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</si>
  <si>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</si>
  <si>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</si>
  <si>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</si>
  <si>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</si>
  <si>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</si>
  <si>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</si>
  <si>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</si>
  <si>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</si>
  <si>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</si>
  <si>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</si>
  <si>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</si>
  <si>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</si>
  <si>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</si>
  <si>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</si>
  <si>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</si>
  <si>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</si>
  <si>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</si>
  <si>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</si>
  <si>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</si>
  <si>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</si>
  <si>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</si>
  <si>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</si>
  <si>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</si>
  <si>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</si>
  <si>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</si>
  <si>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</si>
  <si>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</si>
  <si>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</si>
  <si>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</si>
  <si>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</si>
  <si>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</si>
  <si>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</si>
  <si>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</si>
  <si>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</si>
  <si>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</si>
  <si>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</si>
  <si>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</si>
  <si>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</si>
  <si>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</si>
  <si>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</si>
  <si>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</si>
  <si>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</si>
  <si>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</si>
  <si>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</si>
  <si>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</si>
  <si>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</si>
  <si>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</si>
  <si>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</si>
  <si>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</si>
  <si>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</si>
  <si>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</si>
  <si>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</si>
  <si>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</si>
  <si>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</si>
  <si>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</si>
  <si>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</si>
  <si>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</si>
  <si>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</si>
  <si>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</si>
  <si>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</si>
  <si>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</si>
  <si>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</si>
  <si>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</si>
  <si>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</si>
  <si>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</si>
  <si>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</si>
  <si>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</si>
  <si>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</si>
  <si>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</si>
  <si>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</si>
  <si>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</si>
  <si>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</si>
  <si>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</si>
  <si>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</si>
  <si>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</si>
  <si>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</si>
  <si>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</si>
  <si>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</si>
  <si>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</si>
  <si>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</si>
  <si>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</si>
  <si>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</si>
  <si>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</si>
  <si>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</si>
  <si>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</si>
  <si>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</si>
  <si>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</si>
  <si>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</si>
  <si>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</si>
  <si>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</si>
  <si>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</si>
  <si>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</si>
  <si>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</si>
  <si>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</si>
  <si>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</si>
  <si>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</si>
  <si>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</si>
  <si>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</si>
  <si>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</si>
  <si>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</si>
  <si>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</si>
  <si>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</si>
  <si>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</si>
  <si>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</si>
  <si>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</si>
  <si>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</si>
  <si>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</si>
  <si>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</si>
  <si>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</si>
  <si>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</si>
  <si>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</si>
  <si>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</si>
  <si>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</si>
  <si>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</si>
  <si>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</si>
  <si>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</si>
  <si>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</si>
  <si>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</si>
  <si>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</si>
  <si>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</si>
  <si>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</si>
  <si>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</si>
  <si>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</si>
  <si>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</si>
  <si>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</si>
  <si>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</si>
  <si>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</si>
  <si>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</si>
  <si>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</si>
  <si>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</si>
  <si>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</si>
  <si>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</si>
  <si>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</si>
  <si>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</si>
  <si>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</si>
  <si>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</si>
  <si>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</si>
  <si>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</si>
  <si>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</si>
  <si>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</si>
  <si>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</si>
  <si>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</si>
  <si>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</si>
  <si>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</si>
  <si>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</si>
  <si>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</si>
  <si>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</si>
  <si>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</si>
  <si>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</si>
  <si>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</si>
  <si>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</si>
  <si>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</si>
  <si>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</si>
  <si>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</si>
  <si>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</si>
  <si>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</si>
  <si>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</si>
  <si>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</si>
  <si>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</si>
  <si>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</si>
  <si>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</si>
  <si>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</si>
  <si>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</si>
  <si>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</si>
  <si>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</si>
  <si>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</si>
  <si>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</si>
  <si>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</si>
  <si>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</si>
  <si>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</si>
  <si>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</si>
  <si>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</si>
  <si>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</si>
  <si>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</si>
  <si>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</si>
  <si>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</si>
  <si>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</si>
  <si>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</si>
  <si>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</si>
  <si>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</si>
  <si>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</si>
  <si>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</si>
  <si>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</si>
  <si>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</si>
  <si>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</si>
  <si>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</si>
  <si>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</si>
  <si>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</si>
  <si>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</si>
  <si>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</si>
  <si>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</si>
  <si>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</si>
  <si>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</si>
  <si>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</si>
  <si>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</si>
  <si>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</si>
  <si>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</si>
  <si>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</si>
  <si>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</si>
  <si>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</si>
  <si>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</si>
  <si>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</si>
  <si>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</si>
  <si>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</si>
  <si>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</si>
  <si>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</si>
  <si>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</si>
  <si>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</si>
  <si>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</si>
  <si>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</si>
  <si>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</si>
  <si>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</si>
  <si>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</si>
  <si>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</si>
  <si>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</si>
  <si>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</si>
  <si>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</si>
  <si>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</si>
  <si>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</si>
  <si>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</si>
  <si>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</si>
  <si>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</si>
  <si>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</si>
  <si>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</si>
  <si>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</si>
  <si>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</si>
  <si>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</si>
  <si>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</si>
  <si>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</si>
  <si>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</si>
  <si>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</si>
  <si>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</si>
  <si>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</si>
  <si>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</si>
  <si>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</si>
  <si>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</si>
  <si>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</si>
  <si>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</si>
  <si>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</si>
  <si>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</si>
  <si>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</si>
  <si>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</si>
  <si>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</si>
  <si>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</si>
  <si>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</si>
  <si>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</si>
  <si>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</si>
  <si>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</si>
  <si>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</si>
  <si>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</si>
  <si>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</si>
  <si>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</si>
  <si>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</si>
  <si>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</si>
  <si>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</si>
  <si>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</si>
  <si>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</si>
  <si>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</si>
  <si>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</si>
  <si>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</si>
  <si>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</si>
  <si>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</si>
  <si>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</si>
  <si>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</si>
  <si>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</si>
  <si>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</si>
  <si>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</si>
  <si>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</si>
  <si>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</si>
  <si>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</si>
  <si>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</si>
  <si>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</si>
  <si>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</si>
  <si>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</si>
  <si>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</si>
  <si>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</si>
  <si>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</si>
  <si>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</si>
  <si>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</si>
  <si>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</si>
  <si>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</si>
  <si>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</si>
  <si>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</si>
  <si>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</si>
  <si>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</si>
  <si>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</si>
  <si>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</si>
  <si>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</si>
  <si>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</si>
  <si>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</si>
  <si>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</si>
  <si>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</si>
  <si>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</si>
  <si>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</si>
  <si>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</si>
  <si>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</si>
  <si>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</si>
  <si>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</si>
  <si>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</si>
  <si>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</si>
  <si>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</si>
  <si>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</si>
  <si>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</si>
  <si>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</si>
  <si>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</si>
  <si>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</si>
  <si>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</si>
  <si>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</si>
  <si>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</si>
  <si>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</si>
  <si>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</si>
  <si>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</si>
  <si>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</si>
  <si>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</si>
  <si>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</si>
  <si>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</si>
  <si>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</si>
  <si>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</si>
  <si>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</si>
  <si>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</si>
  <si>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</si>
  <si>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</si>
  <si>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</si>
  <si>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</si>
  <si>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</si>
  <si>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</si>
  <si>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</si>
  <si>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</si>
  <si>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</si>
  <si>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</si>
  <si>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</si>
  <si>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</si>
  <si>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</si>
  <si>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</si>
  <si>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</si>
  <si>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</si>
  <si>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</si>
  <si>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</si>
  <si>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</si>
  <si>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</si>
  <si>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</si>
  <si>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</si>
  <si>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</si>
  <si>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</si>
  <si>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</si>
  <si>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</si>
  <si>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</si>
  <si>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</si>
  <si>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</si>
  <si>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</si>
  <si>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</si>
  <si>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</si>
  <si>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</si>
  <si>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</si>
  <si>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</si>
  <si>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</si>
  <si>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</si>
  <si>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</si>
  <si>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</si>
  <si>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</si>
  <si>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</si>
  <si>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</si>
  <si>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</si>
  <si>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</si>
  <si>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</si>
  <si>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</si>
  <si>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</si>
  <si>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</si>
  <si>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</si>
  <si>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</si>
  <si>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</si>
  <si>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</si>
  <si>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</si>
  <si>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</si>
  <si>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</si>
  <si>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</si>
  <si>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</si>
  <si>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</si>
  <si>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</si>
  <si>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</si>
  <si>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</si>
  <si>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</si>
  <si>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</si>
  <si>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</si>
  <si>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</si>
  <si>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</si>
  <si>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</si>
  <si>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</si>
  <si>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</si>
  <si>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</si>
  <si>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</si>
  <si>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</si>
  <si>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</si>
  <si>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</si>
  <si>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</si>
  <si>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</si>
  <si>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</si>
  <si>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</si>
  <si>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</si>
  <si>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</si>
  <si>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</si>
  <si>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</si>
  <si>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</si>
  <si>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</si>
  <si>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</si>
  <si>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</si>
  <si>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</si>
  <si>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</si>
  <si>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</si>
  <si>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</si>
  <si>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</si>
  <si>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</si>
  <si>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</si>
  <si>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</si>
  <si>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</si>
  <si>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</si>
  <si>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</si>
  <si>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</si>
  <si>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</si>
  <si>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</si>
  <si>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</si>
  <si>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</si>
  <si>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</si>
  <si>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</si>
  <si>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</si>
  <si>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</si>
  <si>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</si>
  <si>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</si>
  <si>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</si>
  <si>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</si>
  <si>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</si>
  <si>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</si>
  <si>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</si>
  <si>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</si>
  <si>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</si>
  <si>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</si>
  <si>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</si>
  <si>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</si>
  <si>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</si>
  <si>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</si>
  <si>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</si>
  <si>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</si>
  <si>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</si>
  <si>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</si>
  <si>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</si>
  <si>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</si>
  <si>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</si>
  <si>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</si>
  <si>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</si>
  <si>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</si>
  <si>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</si>
  <si>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</si>
  <si>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</si>
  <si>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</si>
  <si>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</si>
  <si>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</si>
  <si>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</si>
  <si>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</si>
  <si>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</si>
  <si>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</si>
  <si>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</si>
  <si>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</si>
  <si>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</si>
  <si>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</si>
  <si>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</si>
  <si>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</si>
  <si>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</si>
  <si>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</si>
  <si>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</si>
  <si>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</si>
  <si>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</si>
  <si>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</si>
  <si>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</si>
  <si>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</si>
  <si>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</si>
  <si>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</si>
  <si>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</si>
  <si>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</si>
  <si>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</si>
  <si>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</si>
  <si>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</si>
  <si>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</si>
  <si>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</si>
  <si>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</si>
  <si>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</si>
  <si>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</si>
  <si>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</si>
  <si>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</si>
  <si>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</si>
  <si>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</si>
  <si>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</si>
  <si>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</si>
  <si>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</si>
  <si>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</si>
  <si>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</si>
  <si>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</si>
  <si>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</si>
  <si>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</si>
  <si>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</si>
  <si>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</si>
  <si>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</si>
  <si>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</si>
  <si>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</si>
  <si>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</si>
  <si>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</si>
  <si>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</si>
  <si>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</si>
  <si>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</si>
  <si>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</si>
  <si>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</si>
  <si>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</si>
  <si>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</si>
  <si>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</si>
  <si>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</si>
  <si>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</si>
  <si>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</si>
  <si>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</si>
  <si>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</si>
  <si>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</si>
  <si>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</si>
  <si>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</si>
  <si>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</si>
  <si>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</si>
  <si>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</si>
  <si>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</si>
  <si>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</si>
  <si>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</si>
  <si>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</si>
  <si>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</si>
  <si>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</si>
  <si>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</si>
  <si>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</si>
  <si>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</si>
  <si>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</si>
  <si>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</si>
  <si>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</si>
  <si>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</si>
  <si>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</si>
  <si>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</si>
  <si>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</si>
  <si>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</si>
  <si>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</si>
  <si>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</si>
  <si>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</si>
  <si>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</si>
  <si>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</si>
  <si>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</si>
  <si>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</si>
  <si>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</si>
  <si>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</si>
  <si>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</si>
  <si>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</si>
  <si>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</si>
  <si>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</si>
  <si>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</si>
  <si>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</si>
  <si>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</si>
  <si>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</si>
  <si>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</si>
  <si>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</si>
  <si>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</si>
  <si>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</si>
  <si>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</si>
  <si>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</si>
  <si>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</si>
  <si>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</si>
  <si>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</si>
  <si>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</si>
  <si>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</si>
  <si>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</si>
  <si>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</si>
  <si>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</si>
  <si>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</si>
  <si>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</si>
  <si>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</si>
  <si>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</si>
  <si>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</si>
  <si>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</si>
  <si>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</si>
  <si>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</si>
  <si>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</si>
  <si>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</si>
  <si>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</si>
  <si>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</si>
  <si>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</si>
  <si>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</si>
  <si>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</si>
  <si>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</si>
  <si>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</si>
  <si>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</si>
  <si>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</si>
  <si>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</si>
  <si>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</si>
  <si>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</si>
  <si>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</si>
  <si>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</si>
  <si>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</si>
  <si>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</si>
  <si>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</si>
  <si>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</si>
  <si>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</si>
  <si>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</si>
  <si>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</si>
  <si>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</si>
  <si>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</si>
  <si>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</si>
  <si>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</si>
  <si>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</si>
  <si>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</si>
  <si>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</si>
  <si>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</si>
  <si>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</si>
  <si>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</si>
  <si>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</si>
  <si>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</si>
  <si>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</si>
  <si>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</si>
  <si>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</si>
  <si>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</si>
  <si>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</si>
  <si>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</si>
  <si>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</si>
  <si>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</si>
  <si>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</si>
  <si>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</si>
  <si>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</si>
  <si>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</si>
  <si>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</si>
  <si>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</si>
  <si>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</si>
  <si>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</si>
  <si>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</si>
  <si>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</si>
  <si>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</si>
  <si>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</si>
  <si>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</si>
  <si>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</si>
  <si>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</si>
  <si>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</si>
  <si>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</si>
  <si>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</si>
  <si>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</si>
  <si>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</si>
  <si>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</si>
  <si>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</si>
  <si>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</si>
  <si>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</si>
  <si>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</si>
  <si>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</si>
  <si>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</si>
  <si>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</si>
  <si>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</si>
  <si>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</si>
  <si>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</si>
  <si>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</si>
  <si>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</si>
  <si>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</si>
  <si>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</si>
  <si>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</si>
  <si>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</si>
  <si>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</si>
  <si>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</si>
  <si>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</si>
  <si>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</si>
  <si>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</si>
  <si>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</si>
  <si>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</si>
  <si>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</si>
  <si>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</si>
  <si>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</si>
  <si>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</si>
  <si>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</si>
  <si>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</si>
  <si>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</si>
  <si>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</si>
  <si>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</si>
  <si>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</si>
  <si>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</si>
  <si>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</si>
  <si>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</si>
  <si>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</si>
  <si>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</si>
  <si>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</si>
  <si>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</si>
  <si>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</si>
  <si>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</si>
  <si>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</si>
  <si>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</si>
  <si>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</si>
  <si>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</si>
  <si>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</si>
  <si>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</si>
  <si>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</si>
  <si>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</si>
  <si>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</si>
  <si>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</si>
  <si>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</si>
  <si>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</si>
  <si>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</si>
  <si>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</si>
  <si>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</si>
  <si>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</si>
  <si>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</si>
  <si>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</si>
  <si>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</si>
  <si>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</si>
  <si>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</si>
  <si>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</si>
  <si>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</si>
  <si>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</si>
  <si>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</si>
  <si>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</si>
  <si>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</si>
  <si>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</si>
  <si>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</si>
  <si>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</si>
  <si>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</si>
  <si>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</si>
  <si>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</si>
  <si>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</si>
  <si>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</si>
  <si>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</si>
  <si>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</si>
  <si>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</si>
  <si>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</si>
  <si>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</si>
  <si>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</si>
  <si>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</si>
  <si>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</si>
  <si>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</si>
  <si>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</si>
  <si>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</si>
  <si>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</si>
  <si>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</si>
  <si>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</si>
  <si>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</si>
  <si>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</si>
  <si>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</si>
  <si>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</si>
  <si>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</si>
  <si>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</si>
  <si>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</si>
  <si>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</si>
  <si>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</si>
  <si>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</si>
  <si>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</si>
  <si>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</si>
  <si>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</si>
  <si>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</si>
  <si>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</si>
  <si>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</si>
  <si>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</si>
  <si>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</si>
  <si>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</si>
  <si>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</si>
  <si>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</si>
  <si>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</si>
  <si>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</si>
  <si>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</si>
  <si>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</si>
  <si>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</si>
  <si>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</si>
  <si>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</si>
  <si>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</si>
  <si>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</si>
  <si>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</si>
  <si>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</si>
  <si>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</si>
  <si>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</si>
  <si>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</si>
  <si>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</si>
  <si>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</si>
  <si>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</si>
  <si>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</si>
  <si>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</si>
  <si>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</si>
  <si>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</si>
  <si>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</si>
  <si>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</si>
  <si>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</si>
  <si>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</si>
  <si>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</si>
  <si>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</si>
  <si>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</si>
  <si>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</si>
  <si>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</si>
  <si>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</si>
  <si>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</si>
  <si>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</si>
  <si>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</si>
  <si>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</si>
  <si>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</si>
  <si>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</si>
  <si>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</si>
  <si>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</si>
  <si>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</si>
  <si>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</si>
  <si>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</si>
  <si>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</si>
  <si>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</si>
  <si>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</si>
  <si>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</si>
  <si>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</si>
  <si>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</si>
  <si>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</si>
  <si>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</si>
  <si>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</si>
  <si>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</si>
  <si>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</si>
  <si>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</si>
  <si>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</si>
  <si>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</si>
  <si>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</si>
  <si>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</si>
  <si>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</si>
  <si>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</si>
  <si>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</si>
  <si>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</si>
  <si>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</si>
  <si>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</si>
  <si>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</si>
  <si>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</si>
  <si>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12035</t>
  </si>
  <si>
    <t>SINT-KATELIJNE-WAVER</t>
  </si>
  <si>
    <t>Eandis (januari 2018); Infrax (juni 2018)</t>
  </si>
  <si>
    <t>MOW (september 2017)</t>
  </si>
  <si>
    <t>referentietaak LNE (2017); Jaarverslag De Lijn (2016)</t>
  </si>
  <si>
    <t>VEA (april 2018)</t>
  </si>
  <si>
    <t>VEA (januari 2017)</t>
  </si>
  <si>
    <t>VEA (juni 2018)</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</si>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</sst>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164638.28176313147</c:v>
                </c:pt>
                <c:pt idx="1">
                  <c:v>119454.3484039074</c:v>
                </c:pt>
                <c:pt idx="2">
                  <c:v>1414.5239999999999</c:v>
                </c:pt>
                <c:pt idx="3">
                  <c:v>306286.56169383944</c:v>
                </c:pt>
                <c:pt idx="4">
                  <c:v>16554.666991079135</c:v>
                </c:pt>
                <c:pt idx="5">
                  <c:v>77513.440105607297</c:v>
                </c:pt>
                <c:pt idx="6">
                  <c:v>2464.6916060807407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164638.28176313147</c:v>
                </c:pt>
                <c:pt idx="1">
                  <c:v>119454.3484039074</c:v>
                </c:pt>
                <c:pt idx="2">
                  <c:v>1414.5239999999999</c:v>
                </c:pt>
                <c:pt idx="3">
                  <c:v>306286.56169383944</c:v>
                </c:pt>
                <c:pt idx="4">
                  <c:v>16554.666991079135</c:v>
                </c:pt>
                <c:pt idx="5">
                  <c:v>77513.440105607297</c:v>
                </c:pt>
                <c:pt idx="6">
                  <c:v>2464.6916060807407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32998.079355999369</c:v>
                </c:pt>
                <c:pt idx="1">
                  <c:v>24968.997841438922</c:v>
                </c:pt>
                <c:pt idx="2">
                  <c:v>297.07552961763628</c:v>
                </c:pt>
                <c:pt idx="3">
                  <c:v>67838.500141486162</c:v>
                </c:pt>
                <c:pt idx="4">
                  <c:v>3300.491421215575</c:v>
                </c:pt>
                <c:pt idx="5">
                  <c:v>19391.715297130821</c:v>
                </c:pt>
                <c:pt idx="6">
                  <c:v>622.70572275315681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32998.079355999369</c:v>
                </c:pt>
                <c:pt idx="1">
                  <c:v>24968.997841438922</c:v>
                </c:pt>
                <c:pt idx="2">
                  <c:v>297.07552961763628</c:v>
                </c:pt>
                <c:pt idx="3">
                  <c:v>67838.500141486162</c:v>
                </c:pt>
                <c:pt idx="4">
                  <c:v>3300.491421215575</c:v>
                </c:pt>
                <c:pt idx="5">
                  <c:v>19391.715297130821</c:v>
                </c:pt>
                <c:pt idx="6">
                  <c:v>622.70572275315681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12035</v>
      </c>
      <c r="B6" s="415"/>
      <c r="C6" s="416"/>
    </row>
    <row r="7" spans="1:7" s="413" customFormat="1" ht="15.75" customHeight="1">
      <c r="A7" s="417" t="str">
        <f>txtMunicipality</f>
        <v>SINT-KATELIJNE-WAVER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8049</v>
      </c>
      <c r="C9" s="342">
        <v>8507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1232.1500000000001</v>
      </c>
    </row>
    <row r="15" spans="1:6">
      <c r="A15" s="348" t="s">
        <v>184</v>
      </c>
      <c r="B15" s="334">
        <v>4</v>
      </c>
    </row>
    <row r="16" spans="1:6">
      <c r="A16" s="348" t="s">
        <v>6</v>
      </c>
      <c r="B16" s="334">
        <v>375</v>
      </c>
    </row>
    <row r="17" spans="1:6">
      <c r="A17" s="348" t="s">
        <v>7</v>
      </c>
      <c r="B17" s="334">
        <v>214</v>
      </c>
    </row>
    <row r="18" spans="1:6">
      <c r="A18" s="348" t="s">
        <v>8</v>
      </c>
      <c r="B18" s="334">
        <v>332</v>
      </c>
    </row>
    <row r="19" spans="1:6">
      <c r="A19" s="348" t="s">
        <v>9</v>
      </c>
      <c r="B19" s="334">
        <v>311</v>
      </c>
    </row>
    <row r="20" spans="1:6">
      <c r="A20" s="348" t="s">
        <v>10</v>
      </c>
      <c r="B20" s="334">
        <v>232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102</v>
      </c>
    </row>
    <row r="27" spans="1:6">
      <c r="A27" s="348" t="s">
        <v>17</v>
      </c>
      <c r="B27" s="334">
        <v>0</v>
      </c>
    </row>
    <row r="28" spans="1:6" s="356" customFormat="1">
      <c r="A28" s="355" t="s">
        <v>18</v>
      </c>
      <c r="B28" s="355">
        <v>15887</v>
      </c>
    </row>
    <row r="29" spans="1:6">
      <c r="A29" s="355" t="s">
        <v>744</v>
      </c>
      <c r="B29" s="355">
        <v>474</v>
      </c>
      <c r="C29" s="356"/>
      <c r="D29" s="356"/>
      <c r="E29" s="356"/>
      <c r="F29" s="356"/>
    </row>
    <row r="30" spans="1:6">
      <c r="A30" s="341" t="s">
        <v>745</v>
      </c>
      <c r="B30" s="341">
        <v>94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26849715.493166201</v>
      </c>
      <c r="E38" s="334">
        <v>5</v>
      </c>
      <c r="F38" s="334">
        <v>576817.22953683103</v>
      </c>
    </row>
    <row r="39" spans="1:6">
      <c r="A39" s="348" t="s">
        <v>30</v>
      </c>
      <c r="B39" s="348" t="s">
        <v>31</v>
      </c>
      <c r="C39" s="334">
        <v>5266</v>
      </c>
      <c r="D39" s="334">
        <v>93077314.512407199</v>
      </c>
      <c r="E39" s="334">
        <v>7730</v>
      </c>
      <c r="F39" s="334">
        <v>29876869.744992301</v>
      </c>
    </row>
    <row r="40" spans="1:6">
      <c r="A40" s="348" t="s">
        <v>30</v>
      </c>
      <c r="B40" s="348" t="s">
        <v>29</v>
      </c>
      <c r="C40" s="334">
        <v>0</v>
      </c>
      <c r="D40" s="334">
        <v>0</v>
      </c>
      <c r="E40" s="334">
        <v>0</v>
      </c>
      <c r="F40" s="334">
        <v>0</v>
      </c>
    </row>
    <row r="41" spans="1:6">
      <c r="A41" s="348" t="s">
        <v>32</v>
      </c>
      <c r="B41" s="348" t="s">
        <v>33</v>
      </c>
      <c r="C41" s="334">
        <v>55</v>
      </c>
      <c r="D41" s="334">
        <v>1930644.4850777001</v>
      </c>
      <c r="E41" s="334">
        <v>147</v>
      </c>
      <c r="F41" s="334">
        <v>1598396.7415012401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702320.65566437005</v>
      </c>
      <c r="E44" s="334">
        <v>11</v>
      </c>
      <c r="F44" s="334">
        <v>924476.65510947199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5450808.2046497203</v>
      </c>
      <c r="E48" s="334">
        <v>54</v>
      </c>
      <c r="F48" s="334">
        <v>2432463.4997224701</v>
      </c>
    </row>
    <row r="49" spans="1:6">
      <c r="A49" s="348" t="s">
        <v>32</v>
      </c>
      <c r="B49" s="348" t="s">
        <v>40</v>
      </c>
      <c r="C49" s="334">
        <v>0</v>
      </c>
      <c r="D49" s="334">
        <v>0</v>
      </c>
      <c r="E49" s="334">
        <v>0</v>
      </c>
      <c r="F49" s="334">
        <v>0</v>
      </c>
    </row>
    <row r="50" spans="1:6">
      <c r="A50" s="348" t="s">
        <v>32</v>
      </c>
      <c r="B50" s="348" t="s">
        <v>41</v>
      </c>
      <c r="C50" s="334">
        <v>3</v>
      </c>
      <c r="D50" s="334">
        <v>300833.97622403997</v>
      </c>
      <c r="E50" s="334">
        <v>11</v>
      </c>
      <c r="F50" s="334">
        <v>421054.362248044</v>
      </c>
    </row>
    <row r="51" spans="1:6">
      <c r="A51" s="348" t="s">
        <v>42</v>
      </c>
      <c r="B51" s="348" t="s">
        <v>43</v>
      </c>
      <c r="C51" s="334">
        <v>49</v>
      </c>
      <c r="D51" s="334">
        <v>509506650.388879</v>
      </c>
      <c r="E51" s="334">
        <v>157</v>
      </c>
      <c r="F51" s="334">
        <v>6055748.4094260698</v>
      </c>
    </row>
    <row r="52" spans="1:6">
      <c r="A52" s="348" t="s">
        <v>42</v>
      </c>
      <c r="B52" s="348" t="s">
        <v>29</v>
      </c>
      <c r="C52" s="334">
        <v>12</v>
      </c>
      <c r="D52" s="334">
        <v>8879836.3504439704</v>
      </c>
      <c r="E52" s="334">
        <v>18</v>
      </c>
      <c r="F52" s="334">
        <v>774244.19781141996</v>
      </c>
    </row>
    <row r="53" spans="1:6">
      <c r="A53" s="348" t="s">
        <v>44</v>
      </c>
      <c r="B53" s="348" t="s">
        <v>45</v>
      </c>
      <c r="C53" s="334">
        <v>111</v>
      </c>
      <c r="D53" s="334">
        <v>2554185.9767528102</v>
      </c>
      <c r="E53" s="334">
        <v>276</v>
      </c>
      <c r="F53" s="334">
        <v>1407965.6049514201</v>
      </c>
    </row>
    <row r="54" spans="1:6">
      <c r="A54" s="348" t="s">
        <v>46</v>
      </c>
      <c r="B54" s="348" t="s">
        <v>47</v>
      </c>
      <c r="C54" s="334">
        <v>0</v>
      </c>
      <c r="D54" s="334">
        <v>0</v>
      </c>
      <c r="E54" s="334">
        <v>1</v>
      </c>
      <c r="F54" s="334">
        <v>1414524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1483676.12783569</v>
      </c>
      <c r="E57" s="334">
        <v>62</v>
      </c>
      <c r="F57" s="334">
        <v>924397.40472704102</v>
      </c>
    </row>
    <row r="58" spans="1:6">
      <c r="A58" s="348" t="s">
        <v>49</v>
      </c>
      <c r="B58" s="348" t="s">
        <v>51</v>
      </c>
      <c r="C58" s="334">
        <v>30</v>
      </c>
      <c r="D58" s="334">
        <v>7930519.8522186996</v>
      </c>
      <c r="E58" s="334">
        <v>49</v>
      </c>
      <c r="F58" s="334">
        <v>1793406.73579018</v>
      </c>
    </row>
    <row r="59" spans="1:6">
      <c r="A59" s="348" t="s">
        <v>49</v>
      </c>
      <c r="B59" s="348" t="s">
        <v>52</v>
      </c>
      <c r="C59" s="334">
        <v>102</v>
      </c>
      <c r="D59" s="334">
        <v>8910810.7926147003</v>
      </c>
      <c r="E59" s="334">
        <v>211</v>
      </c>
      <c r="F59" s="334">
        <v>30779912.841273401</v>
      </c>
    </row>
    <row r="60" spans="1:6">
      <c r="A60" s="348" t="s">
        <v>49</v>
      </c>
      <c r="B60" s="348" t="s">
        <v>53</v>
      </c>
      <c r="C60" s="334">
        <v>69</v>
      </c>
      <c r="D60" s="334">
        <v>4844778.3918436896</v>
      </c>
      <c r="E60" s="334">
        <v>128</v>
      </c>
      <c r="F60" s="334">
        <v>2422886.1793996398</v>
      </c>
    </row>
    <row r="61" spans="1:6">
      <c r="A61" s="348" t="s">
        <v>49</v>
      </c>
      <c r="B61" s="348" t="s">
        <v>54</v>
      </c>
      <c r="C61" s="334">
        <v>114</v>
      </c>
      <c r="D61" s="334">
        <v>6000079.4887844101</v>
      </c>
      <c r="E61" s="334">
        <v>236</v>
      </c>
      <c r="F61" s="334">
        <v>3415067.7563753598</v>
      </c>
    </row>
    <row r="62" spans="1:6">
      <c r="A62" s="348" t="s">
        <v>49</v>
      </c>
      <c r="B62" s="348" t="s">
        <v>55</v>
      </c>
      <c r="C62" s="334">
        <v>6</v>
      </c>
      <c r="D62" s="334">
        <v>2174271.4896505601</v>
      </c>
      <c r="E62" s="334">
        <v>8</v>
      </c>
      <c r="F62" s="334">
        <v>473647.775598204</v>
      </c>
    </row>
    <row r="63" spans="1:6">
      <c r="A63" s="348" t="s">
        <v>49</v>
      </c>
      <c r="B63" s="348" t="s">
        <v>29</v>
      </c>
      <c r="C63" s="334">
        <v>151</v>
      </c>
      <c r="D63" s="334">
        <v>28019894.584259901</v>
      </c>
      <c r="E63" s="334">
        <v>184</v>
      </c>
      <c r="F63" s="334">
        <v>14859658.124251099</v>
      </c>
    </row>
    <row r="64" spans="1:6">
      <c r="A64" s="348" t="s">
        <v>56</v>
      </c>
      <c r="B64" s="348" t="s">
        <v>57</v>
      </c>
      <c r="C64" s="334">
        <v>0</v>
      </c>
      <c r="D64" s="334">
        <v>0</v>
      </c>
      <c r="E64" s="334">
        <v>0</v>
      </c>
      <c r="F64" s="334">
        <v>0</v>
      </c>
    </row>
    <row r="65" spans="1:6">
      <c r="A65" s="348" t="s">
        <v>56</v>
      </c>
      <c r="B65" s="348" t="s">
        <v>29</v>
      </c>
      <c r="C65" s="334">
        <v>3</v>
      </c>
      <c r="D65" s="334">
        <v>123756.243701639</v>
      </c>
      <c r="E65" s="334">
        <v>8</v>
      </c>
      <c r="F65" s="334">
        <v>87160.748487454097</v>
      </c>
    </row>
    <row r="66" spans="1:6">
      <c r="A66" s="348" t="s">
        <v>56</v>
      </c>
      <c r="B66" s="348" t="s">
        <v>58</v>
      </c>
      <c r="C66" s="334">
        <v>0</v>
      </c>
      <c r="D66" s="334">
        <v>0</v>
      </c>
      <c r="E66" s="334">
        <v>11</v>
      </c>
      <c r="F66" s="334">
        <v>221835.488564245</v>
      </c>
    </row>
    <row r="67" spans="1:6">
      <c r="A67" s="355" t="s">
        <v>56</v>
      </c>
      <c r="B67" s="355" t="s">
        <v>59</v>
      </c>
      <c r="C67" s="334">
        <v>0</v>
      </c>
      <c r="D67" s="334">
        <v>0</v>
      </c>
      <c r="E67" s="334">
        <v>0</v>
      </c>
      <c r="F67" s="334">
        <v>0</v>
      </c>
    </row>
    <row r="68" spans="1:6">
      <c r="A68" s="341" t="s">
        <v>56</v>
      </c>
      <c r="B68" s="341" t="s">
        <v>60</v>
      </c>
      <c r="C68" s="334">
        <v>6</v>
      </c>
      <c r="D68" s="334">
        <v>280165.86757969402</v>
      </c>
      <c r="E68" s="334">
        <v>12</v>
      </c>
      <c r="F68" s="334">
        <v>205815.24206283101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73867462</v>
      </c>
      <c r="E73" s="476">
        <v>71680464.487665668</v>
      </c>
    </row>
    <row r="74" spans="1:6">
      <c r="A74" s="348" t="s">
        <v>64</v>
      </c>
      <c r="B74" s="348" t="s">
        <v>657</v>
      </c>
      <c r="C74" s="1272" t="s">
        <v>659</v>
      </c>
      <c r="D74" s="476">
        <v>5971105.222321162</v>
      </c>
      <c r="E74" s="476">
        <v>5539265.7813266115</v>
      </c>
    </row>
    <row r="75" spans="1:6">
      <c r="A75" s="348" t="s">
        <v>65</v>
      </c>
      <c r="B75" s="348" t="s">
        <v>656</v>
      </c>
      <c r="C75" s="1272" t="s">
        <v>660</v>
      </c>
      <c r="D75" s="476">
        <v>17428757</v>
      </c>
      <c r="E75" s="476">
        <v>16905058.577839609</v>
      </c>
    </row>
    <row r="76" spans="1:6">
      <c r="A76" s="348" t="s">
        <v>65</v>
      </c>
      <c r="B76" s="348" t="s">
        <v>657</v>
      </c>
      <c r="C76" s="1272" t="s">
        <v>661</v>
      </c>
      <c r="D76" s="476">
        <v>553243.22232116235</v>
      </c>
      <c r="E76" s="476">
        <v>492064.90704583691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668465.5553576753</v>
      </c>
      <c r="C83" s="476">
        <v>671407.63101007068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4962.0676311818461</v>
      </c>
    </row>
    <row r="92" spans="1:6">
      <c r="A92" s="341" t="s">
        <v>69</v>
      </c>
      <c r="B92" s="342">
        <v>4983.1206877764416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3367</v>
      </c>
    </row>
    <row r="98" spans="1:6">
      <c r="A98" s="348" t="s">
        <v>72</v>
      </c>
      <c r="B98" s="334">
        <v>10</v>
      </c>
    </row>
    <row r="99" spans="1:6">
      <c r="A99" s="348" t="s">
        <v>73</v>
      </c>
      <c r="B99" s="334">
        <v>75</v>
      </c>
    </row>
    <row r="100" spans="1:6">
      <c r="A100" s="348" t="s">
        <v>74</v>
      </c>
      <c r="B100" s="334">
        <v>535</v>
      </c>
    </row>
    <row r="101" spans="1:6">
      <c r="A101" s="348" t="s">
        <v>75</v>
      </c>
      <c r="B101" s="334">
        <v>63</v>
      </c>
    </row>
    <row r="102" spans="1:6">
      <c r="A102" s="348" t="s">
        <v>76</v>
      </c>
      <c r="B102" s="334">
        <v>94</v>
      </c>
    </row>
    <row r="103" spans="1:6">
      <c r="A103" s="348" t="s">
        <v>77</v>
      </c>
      <c r="B103" s="334">
        <v>187</v>
      </c>
    </row>
    <row r="104" spans="1:6">
      <c r="A104" s="348" t="s">
        <v>78</v>
      </c>
      <c r="B104" s="334">
        <v>2851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3</v>
      </c>
      <c r="C122" s="334">
        <v>0</v>
      </c>
    </row>
    <row r="123" spans="1:6">
      <c r="A123" s="348" t="s">
        <v>88</v>
      </c>
      <c r="B123" s="334">
        <v>40</v>
      </c>
      <c r="C123" s="334">
        <v>44</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210</v>
      </c>
    </row>
    <row r="130" spans="1:6">
      <c r="A130" s="348" t="s">
        <v>295</v>
      </c>
      <c r="B130" s="334">
        <v>4</v>
      </c>
    </row>
    <row r="131" spans="1:6">
      <c r="A131" s="348" t="s">
        <v>296</v>
      </c>
      <c r="B131" s="334">
        <v>2</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108800.98829446973</v>
      </c>
      <c r="C3" s="43" t="s">
        <v>170</v>
      </c>
      <c r="D3" s="43"/>
      <c r="E3" s="154"/>
      <c r="F3" s="43"/>
      <c r="G3" s="43"/>
      <c r="H3" s="43"/>
      <c r="I3" s="43"/>
      <c r="J3" s="43"/>
      <c r="K3" s="96"/>
    </row>
    <row r="4" spans="1:11">
      <c r="A4" s="383" t="s">
        <v>171</v>
      </c>
      <c r="B4" s="49">
        <f>IF(ISERROR('SEAP template'!B69),0,'SEAP template'!B69)</f>
        <v>180792.93831895827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37969.774922329474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0.21001801992588057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52989.273649099094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238429.07142857133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0.22224334193648712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1414.5239999999999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1414.5239999999999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0.21001801992588057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297.07552961763628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29876.869744992302</v>
      </c>
      <c r="C5" s="17">
        <f>IF(ISERROR('Eigen informatie GS &amp; warmtenet'!B57),0,'Eigen informatie GS &amp; warmtenet'!B57)</f>
        <v>0</v>
      </c>
      <c r="D5" s="30">
        <f>(SUM(HH_hh_gas_kWh,HH_rest_gas_kWh)/1000)*0.902</f>
        <v>83955.737690191294</v>
      </c>
      <c r="E5" s="17">
        <f>B46*B57</f>
        <v>3652.8893513823191</v>
      </c>
      <c r="F5" s="17">
        <f>B51*B62</f>
        <v>29561.834515921702</v>
      </c>
      <c r="G5" s="18"/>
      <c r="H5" s="17"/>
      <c r="I5" s="17"/>
      <c r="J5" s="17">
        <f>B50*B61+C50*C61</f>
        <v>0</v>
      </c>
      <c r="K5" s="17"/>
      <c r="L5" s="17"/>
      <c r="M5" s="17"/>
      <c r="N5" s="17">
        <f>B48*B59+C48*C59</f>
        <v>10457.032829461998</v>
      </c>
      <c r="O5" s="17">
        <f>B69*B70*B71</f>
        <v>398.65000000000003</v>
      </c>
      <c r="P5" s="17">
        <f>B77*B78*B79/1000-B77*B78*B79/1000/B80</f>
        <v>1773.2</v>
      </c>
    </row>
    <row r="6" spans="1:16">
      <c r="A6" s="16" t="s">
        <v>621</v>
      </c>
      <c r="B6" s="843">
        <f>kWh_PV_kleiner_dan_10kW</f>
        <v>4962.0676311818461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34838.937376174144</v>
      </c>
      <c r="C8" s="21">
        <f>C5</f>
        <v>0</v>
      </c>
      <c r="D8" s="21">
        <f>D5</f>
        <v>83955.737690191294</v>
      </c>
      <c r="E8" s="21">
        <f>E5</f>
        <v>3652.8893513823191</v>
      </c>
      <c r="F8" s="21">
        <f>F5</f>
        <v>29561.834515921702</v>
      </c>
      <c r="G8" s="21"/>
      <c r="H8" s="21"/>
      <c r="I8" s="21"/>
      <c r="J8" s="21">
        <f>J5</f>
        <v>0</v>
      </c>
      <c r="K8" s="21"/>
      <c r="L8" s="21">
        <f>L5</f>
        <v>0</v>
      </c>
      <c r="M8" s="21">
        <f>M5</f>
        <v>0</v>
      </c>
      <c r="N8" s="21">
        <f>N5</f>
        <v>10457.032829461998</v>
      </c>
      <c r="O8" s="21">
        <f>O5</f>
        <v>398.65000000000003</v>
      </c>
      <c r="P8" s="21">
        <f>P5</f>
        <v>1773.2</v>
      </c>
    </row>
    <row r="9" spans="1:16">
      <c r="B9" s="19"/>
      <c r="C9" s="19"/>
      <c r="D9" s="258"/>
      <c r="E9" s="19"/>
      <c r="F9" s="19"/>
      <c r="G9" s="19"/>
      <c r="H9" s="19"/>
      <c r="I9" s="19"/>
      <c r="J9" s="19"/>
      <c r="K9" s="19"/>
      <c r="L9" s="19"/>
      <c r="M9" s="19"/>
      <c r="N9" s="19"/>
      <c r="O9" s="19"/>
      <c r="P9" s="19"/>
    </row>
    <row r="10" spans="1:16">
      <c r="A10" s="24" t="s">
        <v>214</v>
      </c>
      <c r="B10" s="25">
        <f ca="1">'EF ele_warmte'!B12</f>
        <v>0.21001801992588057</v>
      </c>
      <c r="C10" s="25">
        <f ca="1">'EF ele_warmte'!B22</f>
        <v>0.22224334193648712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7316.8046440658463</v>
      </c>
      <c r="C12" s="23">
        <f ca="1">C10*C8</f>
        <v>0</v>
      </c>
      <c r="D12" s="23">
        <f>D8*D10</f>
        <v>16959.059013418642</v>
      </c>
      <c r="E12" s="23">
        <f>E10*E8</f>
        <v>829.20588276378646</v>
      </c>
      <c r="F12" s="23">
        <f>F10*F8</f>
        <v>7893.0098157510947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3367</v>
      </c>
      <c r="C18" s="166" t="s">
        <v>111</v>
      </c>
      <c r="D18" s="228"/>
      <c r="E18" s="15"/>
    </row>
    <row r="19" spans="1:7">
      <c r="A19" s="171" t="s">
        <v>72</v>
      </c>
      <c r="B19" s="37">
        <f>aantalw2001_ander</f>
        <v>10</v>
      </c>
      <c r="C19" s="166" t="s">
        <v>111</v>
      </c>
      <c r="D19" s="229"/>
      <c r="E19" s="15"/>
    </row>
    <row r="20" spans="1:7">
      <c r="A20" s="171" t="s">
        <v>73</v>
      </c>
      <c r="B20" s="37">
        <f>aantalw2001_propaan</f>
        <v>75</v>
      </c>
      <c r="C20" s="167">
        <f>IF(ISERROR(B20/SUM($B$20,$B$21,$B$22)*100),0,B20/SUM($B$20,$B$21,$B$22)*100)</f>
        <v>11.144130757800893</v>
      </c>
      <c r="D20" s="229"/>
      <c r="E20" s="15"/>
    </row>
    <row r="21" spans="1:7">
      <c r="A21" s="171" t="s">
        <v>74</v>
      </c>
      <c r="B21" s="37">
        <f>aantalw2001_elektriciteit</f>
        <v>535</v>
      </c>
      <c r="C21" s="167">
        <f>IF(ISERROR(B21/SUM($B$20,$B$21,$B$22)*100),0,B21/SUM($B$20,$B$21,$B$22)*100)</f>
        <v>79.494799405646361</v>
      </c>
      <c r="D21" s="229"/>
      <c r="E21" s="15"/>
    </row>
    <row r="22" spans="1:7">
      <c r="A22" s="171" t="s">
        <v>75</v>
      </c>
      <c r="B22" s="37">
        <f>aantalw2001_hout</f>
        <v>63</v>
      </c>
      <c r="C22" s="167">
        <f>IF(ISERROR(B22/SUM($B$20,$B$21,$B$22)*100),0,B22/SUM($B$20,$B$21,$B$22)*100)</f>
        <v>9.3610698365527494</v>
      </c>
      <c r="D22" s="229"/>
      <c r="E22" s="15"/>
    </row>
    <row r="23" spans="1:7">
      <c r="A23" s="171" t="s">
        <v>76</v>
      </c>
      <c r="B23" s="37">
        <f>aantalw2001_niet_gespec</f>
        <v>94</v>
      </c>
      <c r="C23" s="166" t="s">
        <v>111</v>
      </c>
      <c r="D23" s="228"/>
      <c r="E23" s="15"/>
    </row>
    <row r="24" spans="1:7">
      <c r="A24" s="171" t="s">
        <v>77</v>
      </c>
      <c r="B24" s="37">
        <f>aantalw2001_steenkool</f>
        <v>187</v>
      </c>
      <c r="C24" s="166" t="s">
        <v>111</v>
      </c>
      <c r="D24" s="229"/>
      <c r="E24" s="15"/>
    </row>
    <row r="25" spans="1:7">
      <c r="A25" s="171" t="s">
        <v>78</v>
      </c>
      <c r="B25" s="37">
        <f>aantalw2001_stookolie</f>
        <v>2851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8049</v>
      </c>
      <c r="C28" s="36"/>
      <c r="D28" s="228"/>
    </row>
    <row r="29" spans="1:7" s="15" customFormat="1">
      <c r="A29" s="230" t="s">
        <v>795</v>
      </c>
      <c r="B29" s="37">
        <f>SUM(HH_hh_gas_aantal,HH_rest_gas_aantal)</f>
        <v>5266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5266</v>
      </c>
      <c r="C32" s="167">
        <f>IF(ISERROR(B32/SUM($B$32,$B$34,$B$35,$B$36,$B$38,$B$39)*100),0,B32/SUM($B$32,$B$34,$B$35,$B$36,$B$38,$B$39)*100)</f>
        <v>66.189039718451482</v>
      </c>
      <c r="D32" s="233"/>
      <c r="G32" s="15"/>
    </row>
    <row r="33" spans="1:7">
      <c r="A33" s="171" t="s">
        <v>72</v>
      </c>
      <c r="B33" s="34" t="s">
        <v>111</v>
      </c>
      <c r="C33" s="167"/>
      <c r="D33" s="233"/>
      <c r="G33" s="15"/>
    </row>
    <row r="34" spans="1:7">
      <c r="A34" s="171" t="s">
        <v>73</v>
      </c>
      <c r="B34" s="33">
        <f>IF((($B$28-$B$32-$B$39-$B$77-$B$38)*C20/100)&lt;0,0,($B$28-$B$32-$B$39-$B$77-$B$38)*C20/100)</f>
        <v>172.52228826151565</v>
      </c>
      <c r="C34" s="167">
        <f>IF(ISERROR(B34/SUM($B$32,$B$34,$B$35,$B$36,$B$38,$B$39)*100),0,B34/SUM($B$32,$B$34,$B$35,$B$36,$B$38,$B$39)*100)</f>
        <v>2.1684551063538922</v>
      </c>
      <c r="D34" s="233"/>
      <c r="G34" s="15"/>
    </row>
    <row r="35" spans="1:7">
      <c r="A35" s="171" t="s">
        <v>74</v>
      </c>
      <c r="B35" s="33">
        <f>IF((($B$28-$B$32-$B$39-$B$77-$B$38)*C21/100)&lt;0,0,($B$28-$B$32-$B$39-$B$77-$B$38)*C21/100)</f>
        <v>1230.6589895988116</v>
      </c>
      <c r="C35" s="167">
        <f>IF(ISERROR(B35/SUM($B$32,$B$34,$B$35,$B$36,$B$38,$B$39)*100),0,B35/SUM($B$32,$B$34,$B$35,$B$36,$B$38,$B$39)*100)</f>
        <v>15.468313091991096</v>
      </c>
      <c r="D35" s="233"/>
      <c r="G35" s="15"/>
    </row>
    <row r="36" spans="1:7">
      <c r="A36" s="171" t="s">
        <v>75</v>
      </c>
      <c r="B36" s="33">
        <f>IF((($B$28-$B$32-$B$39-$B$77-$B$38)*C22/100)&lt;0,0,($B$28-$B$32-$B$39-$B$77-$B$38)*C22/100)</f>
        <v>144.91872213967312</v>
      </c>
      <c r="C36" s="167">
        <f>IF(ISERROR(B36/SUM($B$32,$B$34,$B$35,$B$36,$B$38,$B$39)*100),0,B36/SUM($B$32,$B$34,$B$35,$B$36,$B$38,$B$39)*100)</f>
        <v>1.821502289337269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1141.8999999999999</v>
      </c>
      <c r="C39" s="167">
        <f>IF(ISERROR(B39/SUM($B$32,$B$34,$B$35,$B$36,$B$38,$B$39)*100),0,B39/SUM($B$32,$B$34,$B$35,$B$36,$B$38,$B$39)*100)</f>
        <v>14.352689793866263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5266</v>
      </c>
      <c r="C44" s="34" t="s">
        <v>111</v>
      </c>
      <c r="D44" s="174"/>
    </row>
    <row r="45" spans="1:7">
      <c r="A45" s="171" t="s">
        <v>72</v>
      </c>
      <c r="B45" s="33" t="str">
        <f t="shared" si="0"/>
        <v>-</v>
      </c>
      <c r="C45" s="34" t="s">
        <v>111</v>
      </c>
      <c r="D45" s="174"/>
    </row>
    <row r="46" spans="1:7">
      <c r="A46" s="171" t="s">
        <v>73</v>
      </c>
      <c r="B46" s="33">
        <f t="shared" si="0"/>
        <v>172.52228826151565</v>
      </c>
      <c r="C46" s="34" t="s">
        <v>111</v>
      </c>
      <c r="D46" s="174"/>
    </row>
    <row r="47" spans="1:7">
      <c r="A47" s="171" t="s">
        <v>74</v>
      </c>
      <c r="B47" s="33">
        <f t="shared" si="0"/>
        <v>1230.6589895988116</v>
      </c>
      <c r="C47" s="34" t="s">
        <v>111</v>
      </c>
      <c r="D47" s="174"/>
    </row>
    <row r="48" spans="1:7">
      <c r="A48" s="171" t="s">
        <v>75</v>
      </c>
      <c r="B48" s="33">
        <f t="shared" si="0"/>
        <v>144.91872213967312</v>
      </c>
      <c r="C48" s="33">
        <f>B48*10</f>
        <v>1449.1872213967313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1141.8999999999999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54668.976817414929</v>
      </c>
      <c r="C5" s="17">
        <f>IF(ISERROR('Eigen informatie GS &amp; warmtenet'!B58),0,'Eigen informatie GS &amp; warmtenet'!B58)</f>
        <v>0</v>
      </c>
      <c r="D5" s="30">
        <f>SUM(D6:D12)</f>
        <v>53546.355715941303</v>
      </c>
      <c r="E5" s="17">
        <f>SUM(E6:E12)</f>
        <v>1343.9880623704023</v>
      </c>
      <c r="F5" s="17">
        <f>SUM(F6:F12)</f>
        <v>9909.4014649342353</v>
      </c>
      <c r="G5" s="18"/>
      <c r="H5" s="17"/>
      <c r="I5" s="17"/>
      <c r="J5" s="17">
        <f>SUM(J6:J12)</f>
        <v>5.6048081272756248E-2</v>
      </c>
      <c r="K5" s="17"/>
      <c r="L5" s="17"/>
      <c r="M5" s="17"/>
      <c r="N5" s="17">
        <f>SUM(N6:N12)</f>
        <v>2299.5193427842851</v>
      </c>
      <c r="O5" s="17">
        <f>B38*B39*B40</f>
        <v>6.2533333333333339</v>
      </c>
      <c r="P5" s="17">
        <f>B46*B47*B48/1000-B46*B47*B48/1000/B49</f>
        <v>95.333333333333343</v>
      </c>
      <c r="R5" s="32"/>
    </row>
    <row r="6" spans="1:18">
      <c r="A6" s="32" t="s">
        <v>54</v>
      </c>
      <c r="B6" s="37">
        <f>B26</f>
        <v>3415.0677563753597</v>
      </c>
      <c r="C6" s="33"/>
      <c r="D6" s="37">
        <f>IF(ISERROR(TER_kantoor_gas_kWh/1000),0,TER_kantoor_gas_kWh/1000)*0.902</f>
        <v>5412.0716988835384</v>
      </c>
      <c r="E6" s="33">
        <f>$C$26*'E Balans VL '!I12/100/3.6*1000000</f>
        <v>2.1404508863219419E-2</v>
      </c>
      <c r="F6" s="33">
        <f>$C$26*('E Balans VL '!L12+'E Balans VL '!N12)/100/3.6*1000000</f>
        <v>513.18925768895781</v>
      </c>
      <c r="G6" s="34"/>
      <c r="H6" s="33"/>
      <c r="I6" s="33"/>
      <c r="J6" s="33">
        <f>$C$26*('E Balans VL '!D12+'E Balans VL '!E12)/100/3.6*1000000</f>
        <v>0</v>
      </c>
      <c r="K6" s="33"/>
      <c r="L6" s="33"/>
      <c r="M6" s="33"/>
      <c r="N6" s="33">
        <f>$C$26*'E Balans VL '!Y12/100/3.6*1000000</f>
        <v>3.2660059696103576</v>
      </c>
      <c r="O6" s="33"/>
      <c r="P6" s="33"/>
      <c r="R6" s="32"/>
    </row>
    <row r="7" spans="1:18">
      <c r="A7" s="32" t="s">
        <v>53</v>
      </c>
      <c r="B7" s="37">
        <f t="shared" ref="B7:B12" si="0">B27</f>
        <v>2422.8861793996398</v>
      </c>
      <c r="C7" s="33"/>
      <c r="D7" s="37">
        <f>IF(ISERROR(TER_horeca_gas_kWh/1000),0,TER_horeca_gas_kWh/1000)*0.902</f>
        <v>4369.9901094430088</v>
      </c>
      <c r="E7" s="33">
        <f>$C$27*'E Balans VL '!I9/100/3.6*1000000</f>
        <v>34.695326513207213</v>
      </c>
      <c r="F7" s="33">
        <f>$C$27*('E Balans VL '!L9+'E Balans VL '!N9)/100/3.6*1000000</f>
        <v>306.81730017678757</v>
      </c>
      <c r="G7" s="34"/>
      <c r="H7" s="33"/>
      <c r="I7" s="33"/>
      <c r="J7" s="33">
        <f>$C$27*('E Balans VL '!D9+'E Balans VL '!E9)/100/3.6*1000000</f>
        <v>0</v>
      </c>
      <c r="K7" s="33"/>
      <c r="L7" s="33"/>
      <c r="M7" s="33"/>
      <c r="N7" s="33">
        <f>$C$27*'E Balans VL '!Y9/100/3.6*1000000</f>
        <v>0.69652635652270045</v>
      </c>
      <c r="O7" s="33"/>
      <c r="P7" s="33"/>
      <c r="R7" s="32"/>
    </row>
    <row r="8" spans="1:18">
      <c r="A8" s="6" t="s">
        <v>52</v>
      </c>
      <c r="B8" s="37">
        <f t="shared" si="0"/>
        <v>30779.912841273403</v>
      </c>
      <c r="C8" s="33"/>
      <c r="D8" s="37">
        <f>IF(ISERROR(TER_handel_gas_kWh/1000),0,TER_handel_gas_kWh/1000)*0.902</f>
        <v>8037.5513349384601</v>
      </c>
      <c r="E8" s="33">
        <f>$C$28*'E Balans VL '!I13/100/3.6*1000000</f>
        <v>1116.3836431441839</v>
      </c>
      <c r="F8" s="33">
        <f>$C$28*('E Balans VL '!L13+'E Balans VL '!N13)/100/3.6*1000000</f>
        <v>5928.5228796619085</v>
      </c>
      <c r="G8" s="34"/>
      <c r="H8" s="33"/>
      <c r="I8" s="33"/>
      <c r="J8" s="33">
        <f>$C$28*('E Balans VL '!D13+'E Balans VL '!E13)/100/3.6*1000000</f>
        <v>0</v>
      </c>
      <c r="K8" s="33"/>
      <c r="L8" s="33"/>
      <c r="M8" s="33"/>
      <c r="N8" s="33">
        <f>$C$28*'E Balans VL '!Y13/100/3.6*1000000</f>
        <v>42.637261427254366</v>
      </c>
      <c r="O8" s="33"/>
      <c r="P8" s="33"/>
      <c r="R8" s="32"/>
    </row>
    <row r="9" spans="1:18">
      <c r="A9" s="32" t="s">
        <v>51</v>
      </c>
      <c r="B9" s="37">
        <f t="shared" si="0"/>
        <v>1793.4067357901799</v>
      </c>
      <c r="C9" s="33"/>
      <c r="D9" s="37">
        <f>IF(ISERROR(TER_gezond_gas_kWh/1000),0,TER_gezond_gas_kWh/1000)*0.902</f>
        <v>7153.3289067012665</v>
      </c>
      <c r="E9" s="33">
        <f>$C$29*'E Balans VL '!I10/100/3.6*1000000</f>
        <v>0.11228496835308222</v>
      </c>
      <c r="F9" s="33">
        <f>$C$29*('E Balans VL '!L10+'E Balans VL '!N10)/100/3.6*1000000</f>
        <v>266.41603100512037</v>
      </c>
      <c r="G9" s="34"/>
      <c r="H9" s="33"/>
      <c r="I9" s="33"/>
      <c r="J9" s="33">
        <f>$C$29*('E Balans VL '!D10+'E Balans VL '!E10)/100/3.6*1000000</f>
        <v>0</v>
      </c>
      <c r="K9" s="33"/>
      <c r="L9" s="33"/>
      <c r="M9" s="33"/>
      <c r="N9" s="33">
        <f>$C$29*'E Balans VL '!Y10/100/3.6*1000000</f>
        <v>27.740588438160252</v>
      </c>
      <c r="O9" s="33"/>
      <c r="P9" s="33"/>
      <c r="R9" s="32"/>
    </row>
    <row r="10" spans="1:18">
      <c r="A10" s="32" t="s">
        <v>50</v>
      </c>
      <c r="B10" s="37">
        <f t="shared" si="0"/>
        <v>924.39740472704102</v>
      </c>
      <c r="C10" s="33"/>
      <c r="D10" s="37">
        <f>IF(ISERROR(TER_ander_gas_kWh/1000),0,TER_ander_gas_kWh/1000)*0.902</f>
        <v>1338.2758673077924</v>
      </c>
      <c r="E10" s="33">
        <f>$C$30*'E Balans VL '!I14/100/3.6*1000000</f>
        <v>1.1018486740528797</v>
      </c>
      <c r="F10" s="33">
        <f>$C$30*('E Balans VL '!L14+'E Balans VL '!N14)/100/3.6*1000000</f>
        <v>241.86345655743983</v>
      </c>
      <c r="G10" s="34"/>
      <c r="H10" s="33"/>
      <c r="I10" s="33"/>
      <c r="J10" s="33">
        <f>$C$30*('E Balans VL '!D14+'E Balans VL '!E14)/100/3.6*1000000</f>
        <v>2.0065044118850506E-2</v>
      </c>
      <c r="K10" s="33"/>
      <c r="L10" s="33"/>
      <c r="M10" s="33"/>
      <c r="N10" s="33">
        <f>$C$30*'E Balans VL '!Y14/100/3.6*1000000</f>
        <v>784.97565640810421</v>
      </c>
      <c r="O10" s="33"/>
      <c r="P10" s="33"/>
      <c r="R10" s="32"/>
    </row>
    <row r="11" spans="1:18">
      <c r="A11" s="32" t="s">
        <v>55</v>
      </c>
      <c r="B11" s="37">
        <f t="shared" si="0"/>
        <v>473.64777559820402</v>
      </c>
      <c r="C11" s="33"/>
      <c r="D11" s="37">
        <f>IF(ISERROR(TER_onderwijs_gas_kWh/1000),0,TER_onderwijs_gas_kWh/1000)*0.902</f>
        <v>1961.1928836648051</v>
      </c>
      <c r="E11" s="33">
        <f>$C$31*'E Balans VL '!I11/100/3.6*1000000</f>
        <v>7.1465820514920564</v>
      </c>
      <c r="F11" s="33">
        <f>$C$31*('E Balans VL '!L11+'E Balans VL '!N11)/100/3.6*1000000</f>
        <v>82.99065703312877</v>
      </c>
      <c r="G11" s="34"/>
      <c r="H11" s="33"/>
      <c r="I11" s="33"/>
      <c r="J11" s="33">
        <f>$C$31*('E Balans VL '!D11+'E Balans VL '!E11)/100/3.6*1000000</f>
        <v>0</v>
      </c>
      <c r="K11" s="33"/>
      <c r="L11" s="33"/>
      <c r="M11" s="33"/>
      <c r="N11" s="33">
        <f>$C$31*'E Balans VL '!Y11/100/3.6*1000000</f>
        <v>1.3328808486085022</v>
      </c>
      <c r="O11" s="33"/>
      <c r="P11" s="33"/>
      <c r="R11" s="32"/>
    </row>
    <row r="12" spans="1:18">
      <c r="A12" s="32" t="s">
        <v>260</v>
      </c>
      <c r="B12" s="37">
        <f t="shared" si="0"/>
        <v>14859.6581242511</v>
      </c>
      <c r="C12" s="33"/>
      <c r="D12" s="37">
        <f>IF(ISERROR(TER_rest_gas_kWh/1000),0,TER_rest_gas_kWh/1000)*0.902</f>
        <v>25273.944915002434</v>
      </c>
      <c r="E12" s="33">
        <f>$C$32*'E Balans VL '!I8/100/3.6*1000000</f>
        <v>184.52697251024981</v>
      </c>
      <c r="F12" s="33">
        <f>$C$32*('E Balans VL '!L8+'E Balans VL '!N8)/100/3.6*1000000</f>
        <v>2569.6018828108927</v>
      </c>
      <c r="G12" s="34"/>
      <c r="H12" s="33"/>
      <c r="I12" s="33"/>
      <c r="J12" s="33">
        <f>$C$32*('E Balans VL '!D8+'E Balans VL '!E8)/100/3.6*1000000</f>
        <v>3.5983037153905745E-2</v>
      </c>
      <c r="K12" s="33"/>
      <c r="L12" s="33"/>
      <c r="M12" s="33"/>
      <c r="N12" s="33">
        <f>$C$32*'E Balans VL '!Y8/100/3.6*1000000</f>
        <v>1438.8704233360249</v>
      </c>
      <c r="O12" s="33"/>
      <c r="P12" s="33"/>
      <c r="R12" s="32"/>
    </row>
    <row r="13" spans="1:18">
      <c r="A13" s="16" t="s">
        <v>488</v>
      </c>
      <c r="B13" s="247">
        <f ca="1">'lokale energieproductie'!N90+'lokale energieproductie'!N59</f>
        <v>5636.25</v>
      </c>
      <c r="C13" s="247">
        <f ca="1">'lokale energieproductie'!O90+'lokale energieproductie'!O59</f>
        <v>8051.7857142857147</v>
      </c>
      <c r="D13" s="310">
        <f ca="1">('lokale energieproductie'!P59+'lokale energieproductie'!P90)*(-1)</f>
        <v>-16103.571428571429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60305.226817414929</v>
      </c>
      <c r="C16" s="21">
        <f t="shared" ca="1" si="1"/>
        <v>8051.7857142857147</v>
      </c>
      <c r="D16" s="21">
        <f t="shared" ca="1" si="1"/>
        <v>37442.784287369876</v>
      </c>
      <c r="E16" s="21">
        <f t="shared" si="1"/>
        <v>1343.9880623704023</v>
      </c>
      <c r="F16" s="21">
        <f t="shared" ca="1" si="1"/>
        <v>9909.4014649342353</v>
      </c>
      <c r="G16" s="21">
        <f t="shared" si="1"/>
        <v>0</v>
      </c>
      <c r="H16" s="21">
        <f t="shared" si="1"/>
        <v>0</v>
      </c>
      <c r="I16" s="21">
        <f t="shared" si="1"/>
        <v>0</v>
      </c>
      <c r="J16" s="21">
        <f t="shared" si="1"/>
        <v>5.6048081272756248E-2</v>
      </c>
      <c r="K16" s="21">
        <f t="shared" si="1"/>
        <v>0</v>
      </c>
      <c r="L16" s="21">
        <f t="shared" ca="1" si="1"/>
        <v>0</v>
      </c>
      <c r="M16" s="21">
        <f t="shared" si="1"/>
        <v>0</v>
      </c>
      <c r="N16" s="21">
        <f t="shared" ca="1" si="1"/>
        <v>2299.5193427842851</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0.21001801992588057</v>
      </c>
      <c r="C18" s="25">
        <f ca="1">'EF ele_warmte'!B22</f>
        <v>0.22224334193648712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12665.184327374596</v>
      </c>
      <c r="C20" s="23">
        <f t="shared" ref="C20:P20" ca="1" si="2">C16*C18</f>
        <v>1789.4557656993222</v>
      </c>
      <c r="D20" s="23">
        <f t="shared" ca="1" si="2"/>
        <v>7563.4424260487158</v>
      </c>
      <c r="E20" s="23">
        <f t="shared" si="2"/>
        <v>305.08529015808131</v>
      </c>
      <c r="F20" s="23">
        <f t="shared" ca="1" si="2"/>
        <v>2645.8101911374411</v>
      </c>
      <c r="G20" s="23">
        <f t="shared" si="2"/>
        <v>0</v>
      </c>
      <c r="H20" s="23">
        <f t="shared" si="2"/>
        <v>0</v>
      </c>
      <c r="I20" s="23">
        <f t="shared" si="2"/>
        <v>0</v>
      </c>
      <c r="J20" s="23">
        <f t="shared" si="2"/>
        <v>1.984102077055571E-2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3415.0677563753597</v>
      </c>
      <c r="C26" s="39">
        <f>IF(ISERROR(B26*3.6/1000000/'E Balans VL '!Z12*100),0,B26*3.6/1000000/'E Balans VL '!Z12*100)</f>
        <v>7.2189122465463607E-2</v>
      </c>
      <c r="D26" s="237" t="s">
        <v>754</v>
      </c>
      <c r="F26" s="6"/>
    </row>
    <row r="27" spans="1:18">
      <c r="A27" s="231" t="s">
        <v>53</v>
      </c>
      <c r="B27" s="33">
        <f>IF(ISERROR(TER_horeca_ele_kWh/1000),0,TER_horeca_ele_kWh/1000)</f>
        <v>2422.8861793996398</v>
      </c>
      <c r="C27" s="39">
        <f>IF(ISERROR(B27*3.6/1000000/'E Balans VL '!Z9*100),0,B27*3.6/1000000/'E Balans VL '!Z9*100)</f>
        <v>0.19099521446629189</v>
      </c>
      <c r="D27" s="237" t="s">
        <v>754</v>
      </c>
      <c r="F27" s="6"/>
    </row>
    <row r="28" spans="1:18">
      <c r="A28" s="171" t="s">
        <v>52</v>
      </c>
      <c r="B28" s="33">
        <f>IF(ISERROR(TER_handel_ele_kWh/1000),0,TER_handel_ele_kWh/1000)</f>
        <v>30779.912841273403</v>
      </c>
      <c r="C28" s="39">
        <f>IF(ISERROR(B28*3.6/1000000/'E Balans VL '!Z13*100),0,B28*3.6/1000000/'E Balans VL '!Z13*100)</f>
        <v>0.89335743543746615</v>
      </c>
      <c r="D28" s="237" t="s">
        <v>754</v>
      </c>
      <c r="F28" s="6"/>
    </row>
    <row r="29" spans="1:18">
      <c r="A29" s="231" t="s">
        <v>51</v>
      </c>
      <c r="B29" s="33">
        <f>IF(ISERROR(TER_gezond_ele_kWh/1000),0,TER_gezond_ele_kWh/1000)</f>
        <v>1793.4067357901799</v>
      </c>
      <c r="C29" s="39">
        <f>IF(ISERROR(B29*3.6/1000000/'E Balans VL '!Z10*100),0,B29*3.6/1000000/'E Balans VL '!Z10*100)</f>
        <v>0.18887517779463461</v>
      </c>
      <c r="D29" s="237" t="s">
        <v>754</v>
      </c>
      <c r="F29" s="6"/>
    </row>
    <row r="30" spans="1:18">
      <c r="A30" s="231" t="s">
        <v>50</v>
      </c>
      <c r="B30" s="33">
        <f>IF(ISERROR(TER_ander_ele_kWh/1000),0,TER_ander_ele_kWh/1000)</f>
        <v>924.39740472704102</v>
      </c>
      <c r="C30" s="39">
        <f>IF(ISERROR(B30*3.6/1000000/'E Balans VL '!Z14*100),0,B30*3.6/1000000/'E Balans VL '!Z14*100)</f>
        <v>6.8183753350784096E-2</v>
      </c>
      <c r="D30" s="237" t="s">
        <v>754</v>
      </c>
      <c r="F30" s="6"/>
    </row>
    <row r="31" spans="1:18">
      <c r="A31" s="231" t="s">
        <v>55</v>
      </c>
      <c r="B31" s="33">
        <f>IF(ISERROR(TER_onderwijs_ele_kWh/1000),0,TER_onderwijs_ele_kWh/1000)</f>
        <v>473.64777559820402</v>
      </c>
      <c r="C31" s="39">
        <f>IF(ISERROR(B31*3.6/1000000/'E Balans VL '!Z11*100),0,B31*3.6/1000000/'E Balans VL '!Z11*100)</f>
        <v>0.11762892964947937</v>
      </c>
      <c r="D31" s="237" t="s">
        <v>754</v>
      </c>
    </row>
    <row r="32" spans="1:18">
      <c r="A32" s="231" t="s">
        <v>260</v>
      </c>
      <c r="B32" s="33">
        <f>IF(ISERROR(TER_rest_ele_kWh/1000),0,TER_rest_ele_kWh/1000)</f>
        <v>14859.6581242511</v>
      </c>
      <c r="C32" s="39">
        <f>IF(ISERROR(B32*3.6/1000000/'E Balans VL '!Z8*100),0,B32*3.6/1000000/'E Balans VL '!Z8*100)</f>
        <v>0.1222752621714427</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5376.3912585812268</v>
      </c>
      <c r="C5" s="17">
        <f>IF(ISERROR('Eigen informatie GS &amp; warmtenet'!B59),0,'Eigen informatie GS &amp; warmtenet'!B59)</f>
        <v>0</v>
      </c>
      <c r="D5" s="30">
        <f>SUM(D6:D15)</f>
        <v>7562.9158040974798</v>
      </c>
      <c r="E5" s="17">
        <f>SUM(E6:E15)</f>
        <v>610.94366338958764</v>
      </c>
      <c r="F5" s="17">
        <f>SUM(F6:F15)</f>
        <v>1879.6871814836848</v>
      </c>
      <c r="G5" s="18"/>
      <c r="H5" s="17"/>
      <c r="I5" s="17"/>
      <c r="J5" s="17">
        <f>SUM(J6:J15)</f>
        <v>8.7081730741859804</v>
      </c>
      <c r="K5" s="17"/>
      <c r="L5" s="17"/>
      <c r="M5" s="17"/>
      <c r="N5" s="17">
        <f>SUM(N6:N15)</f>
        <v>1116.0209104529706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924.47665510947195</v>
      </c>
      <c r="C8" s="33"/>
      <c r="D8" s="37">
        <f>IF( ISERROR(IND_metaal_Gas_kWH/1000),0,IND_metaal_Gas_kWH/1000)*0.902</f>
        <v>633.49323140926185</v>
      </c>
      <c r="E8" s="33">
        <f>C30*'E Balans VL '!I18/100/3.6*1000000</f>
        <v>8.4996699756868868</v>
      </c>
      <c r="F8" s="33">
        <f>C30*'E Balans VL '!L18/100/3.6*1000000+C30*'E Balans VL '!N18/100/3.6*1000000</f>
        <v>86.685131305834105</v>
      </c>
      <c r="G8" s="34"/>
      <c r="H8" s="33"/>
      <c r="I8" s="33"/>
      <c r="J8" s="40">
        <f>C30*'E Balans VL '!D18/100/3.6*1000000+C30*'E Balans VL '!E18/100/3.6*1000000</f>
        <v>0</v>
      </c>
      <c r="K8" s="33"/>
      <c r="L8" s="33"/>
      <c r="M8" s="33"/>
      <c r="N8" s="33">
        <f>C30*'E Balans VL '!Y18/100/3.6*1000000</f>
        <v>13.189187247144842</v>
      </c>
      <c r="O8" s="33"/>
      <c r="P8" s="33"/>
      <c r="R8" s="32"/>
    </row>
    <row r="9" spans="1:18">
      <c r="A9" s="6" t="s">
        <v>33</v>
      </c>
      <c r="B9" s="37">
        <f t="shared" si="0"/>
        <v>1598.3967415012401</v>
      </c>
      <c r="C9" s="33"/>
      <c r="D9" s="37">
        <f>IF( ISERROR(IND_andere_gas_kWh/1000),0,IND_andere_gas_kWh/1000)*0.902</f>
        <v>1741.4413255400857</v>
      </c>
      <c r="E9" s="33">
        <f>C31*'E Balans VL '!I19/100/3.6*1000000</f>
        <v>467.24248465512704</v>
      </c>
      <c r="F9" s="33">
        <f>C31*'E Balans VL '!L19/100/3.6*1000000+C31*'E Balans VL '!N19/100/3.6*1000000</f>
        <v>1284.4327693125288</v>
      </c>
      <c r="G9" s="34"/>
      <c r="H9" s="33"/>
      <c r="I9" s="33"/>
      <c r="J9" s="40">
        <f>C31*'E Balans VL '!D19/100/3.6*1000000+C31*'E Balans VL '!E19/100/3.6*1000000</f>
        <v>0</v>
      </c>
      <c r="K9" s="33"/>
      <c r="L9" s="33"/>
      <c r="M9" s="33"/>
      <c r="N9" s="33">
        <f>C31*'E Balans VL '!Y19/100/3.6*1000000</f>
        <v>528.13507276790222</v>
      </c>
      <c r="O9" s="33"/>
      <c r="P9" s="33"/>
      <c r="R9" s="32"/>
    </row>
    <row r="10" spans="1:18">
      <c r="A10" s="6" t="s">
        <v>41</v>
      </c>
      <c r="B10" s="37">
        <f t="shared" si="0"/>
        <v>421.05436224804401</v>
      </c>
      <c r="C10" s="33"/>
      <c r="D10" s="37">
        <f>IF( ISERROR(IND_voed_gas_kWh/1000),0,IND_voed_gas_kWh/1000)*0.902</f>
        <v>271.35224655408405</v>
      </c>
      <c r="E10" s="33">
        <f>C32*'E Balans VL '!I20/100/3.6*1000000</f>
        <v>0.89074703186094684</v>
      </c>
      <c r="F10" s="33">
        <f>C32*'E Balans VL '!L20/100/3.6*1000000+C32*'E Balans VL '!N20/100/3.6*1000000</f>
        <v>26.771066446149355</v>
      </c>
      <c r="G10" s="34"/>
      <c r="H10" s="33"/>
      <c r="I10" s="33"/>
      <c r="J10" s="40">
        <f>C32*'E Balans VL '!D20/100/3.6*1000000+C32*'E Balans VL '!E20/100/3.6*1000000</f>
        <v>0</v>
      </c>
      <c r="K10" s="33"/>
      <c r="L10" s="33"/>
      <c r="M10" s="33"/>
      <c r="N10" s="33">
        <f>C32*'E Balans VL '!Y20/100/3.6*1000000</f>
        <v>29.056906061089002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2432.4634997224703</v>
      </c>
      <c r="C15" s="33"/>
      <c r="D15" s="37">
        <f>IF( ISERROR(IND_rest_gas_kWh/1000),0,IND_rest_gas_kWh/1000)*0.902</f>
        <v>4916.6290005940482</v>
      </c>
      <c r="E15" s="33">
        <f>C37*'E Balans VL '!I15/100/3.6*1000000</f>
        <v>134.31076172691274</v>
      </c>
      <c r="F15" s="33">
        <f>C37*'E Balans VL '!L15/100/3.6*1000000+C37*'E Balans VL '!N15/100/3.6*1000000</f>
        <v>481.79821441917244</v>
      </c>
      <c r="G15" s="34"/>
      <c r="H15" s="33"/>
      <c r="I15" s="33"/>
      <c r="J15" s="40">
        <f>C37*'E Balans VL '!D15/100/3.6*1000000+C37*'E Balans VL '!E15/100/3.6*1000000</f>
        <v>8.7081730741859804</v>
      </c>
      <c r="K15" s="33"/>
      <c r="L15" s="33"/>
      <c r="M15" s="33"/>
      <c r="N15" s="33">
        <f>C37*'E Balans VL '!Y15/100/3.6*1000000</f>
        <v>545.63974437683464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5376.3912585812268</v>
      </c>
      <c r="C18" s="21">
        <f>C5+C16</f>
        <v>0</v>
      </c>
      <c r="D18" s="21">
        <f>MAX((D5+D16),0)</f>
        <v>7562.9158040974798</v>
      </c>
      <c r="E18" s="21">
        <f>MAX((E5+E16),0)</f>
        <v>610.94366338958764</v>
      </c>
      <c r="F18" s="21">
        <f>MAX((F5+F16),0)</f>
        <v>1879.6871814836848</v>
      </c>
      <c r="G18" s="21"/>
      <c r="H18" s="21"/>
      <c r="I18" s="21"/>
      <c r="J18" s="21">
        <f>MAX((J5+J16),0)</f>
        <v>8.7081730741859804</v>
      </c>
      <c r="K18" s="21"/>
      <c r="L18" s="21">
        <f>MAX((L5+L16),0)</f>
        <v>0</v>
      </c>
      <c r="M18" s="21"/>
      <c r="N18" s="21">
        <f>MAX((N5+N16),0)</f>
        <v>1116.0209104529706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0.21001801992588057</v>
      </c>
      <c r="C20" s="25">
        <f ca="1">'EF ele_warmte'!B22</f>
        <v>0.22224334193648712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1129.1390464740423</v>
      </c>
      <c r="C22" s="23">
        <f ca="1">C18*C20</f>
        <v>0</v>
      </c>
      <c r="D22" s="23">
        <f>D18*D20</f>
        <v>1527.7089924276911</v>
      </c>
      <c r="E22" s="23">
        <f>E18*E20</f>
        <v>138.68421158943639</v>
      </c>
      <c r="F22" s="23">
        <f>F18*F20</f>
        <v>501.87647745614385</v>
      </c>
      <c r="G22" s="23"/>
      <c r="H22" s="23"/>
      <c r="I22" s="23"/>
      <c r="J22" s="23">
        <f>J18*J20</f>
        <v>3.0826932682618371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924.47665510947195</v>
      </c>
      <c r="C30" s="39">
        <f>IF(ISERROR(B30*3.6/1000000/'E Balans VL '!Z18*100),0,B30*3.6/1000000/'E Balans VL '!Z18*100)</f>
        <v>5.2392462558240503E-2</v>
      </c>
      <c r="D30" s="237" t="s">
        <v>754</v>
      </c>
    </row>
    <row r="31" spans="1:18">
      <c r="A31" s="6" t="s">
        <v>33</v>
      </c>
      <c r="B31" s="37">
        <f>IF( ISERROR(IND_ander_ele_kWh/1000),0,IND_ander_ele_kWh/1000)</f>
        <v>1598.3967415012401</v>
      </c>
      <c r="C31" s="39">
        <f>IF(ISERROR(B31*3.6/1000000/'E Balans VL '!Z19*100),0,B31*3.6/1000000/'E Balans VL '!Z19*100)</f>
        <v>7.2496620586303462E-2</v>
      </c>
      <c r="D31" s="237" t="s">
        <v>754</v>
      </c>
    </row>
    <row r="32" spans="1:18">
      <c r="A32" s="171" t="s">
        <v>41</v>
      </c>
      <c r="B32" s="37">
        <f>IF( ISERROR(IND_voed_ele_kWh/1000),0,IND_voed_ele_kWh/1000)</f>
        <v>421.05436224804401</v>
      </c>
      <c r="C32" s="39">
        <f>IF(ISERROR(B32*3.6/1000000/'E Balans VL '!Z20*100),0,B32*3.6/1000000/'E Balans VL '!Z20*100)</f>
        <v>1.3025122849744461E-2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2432.4634997224703</v>
      </c>
      <c r="C37" s="39">
        <f>IF(ISERROR(B37*3.6/1000000/'E Balans VL '!Z15*100),0,B37*3.6/1000000/'E Balans VL '!Z15*100)</f>
        <v>1.9280260584589533E-2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6829.9926072374901</v>
      </c>
      <c r="C5" s="17">
        <f>'Eigen informatie GS &amp; warmtenet'!B60</f>
        <v>0</v>
      </c>
      <c r="D5" s="30">
        <f>IF(ISERROR(SUM(LB_lb_gas_kWh,LB_rest_gas_kWh,onbekend_gas_kWh)/1000),0,SUM(LB_lb_gas_kWh,LB_rest_gas_kWh,onbekend_gas_kWh)/1000)*0.902</f>
        <v>469888.48678990034</v>
      </c>
      <c r="E5" s="17">
        <f>B17*'E Balans VL '!I25/3.6*1000000/100</f>
        <v>200.75434393196386</v>
      </c>
      <c r="F5" s="17">
        <f>B17*('E Balans VL '!L25/3.6*1000000+'E Balans VL '!N25/3.6*1000000)/100</f>
        <v>28453.380128322686</v>
      </c>
      <c r="G5" s="18"/>
      <c r="H5" s="17"/>
      <c r="I5" s="17"/>
      <c r="J5" s="17">
        <f>('E Balans VL '!D25+'E Balans VL '!E25)/3.6*1000000*landbouw!B17/100</f>
        <v>989.51925301849076</v>
      </c>
      <c r="K5" s="17"/>
      <c r="L5" s="17">
        <f>L6*(-1)</f>
        <v>34830</v>
      </c>
      <c r="M5" s="17"/>
      <c r="N5" s="17">
        <f>N6*(-1)</f>
        <v>115.71428571428572</v>
      </c>
      <c r="O5" s="17"/>
      <c r="P5" s="17"/>
      <c r="R5" s="32"/>
    </row>
    <row r="6" spans="1:18">
      <c r="A6" s="16" t="s">
        <v>488</v>
      </c>
      <c r="B6" s="17" t="s">
        <v>211</v>
      </c>
      <c r="C6" s="17">
        <f>'lokale energieproductie'!O91+'lokale energieproductie'!O60</f>
        <v>230377.28571428562</v>
      </c>
      <c r="D6" s="310">
        <f>('lokale energieproductie'!P60+'lokale energieproductie'!P91)*(-1)</f>
        <v>-418842.85714285716</v>
      </c>
      <c r="E6" s="248"/>
      <c r="F6" s="310">
        <f>('lokale energieproductie'!S60+'lokale energieproductie'!S91)*(-1)</f>
        <v>-11610</v>
      </c>
      <c r="G6" s="249"/>
      <c r="H6" s="248"/>
      <c r="I6" s="248"/>
      <c r="J6" s="248"/>
      <c r="K6" s="248"/>
      <c r="L6" s="310">
        <f>('lokale energieproductie'!T60+'lokale energieproductie'!U60+'lokale energieproductie'!T91+'lokale energieproductie'!U91)*(-1)</f>
        <v>-34830</v>
      </c>
      <c r="M6" s="248"/>
      <c r="N6" s="310">
        <f>('lokale energieproductie'!V60+'lokale energieproductie'!R60+'lokale energieproductie'!Q60+'lokale energieproductie'!Q91+'lokale energieproductie'!R91+'lokale energieproductie'!V91)*(-1)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6829.9926072374901</v>
      </c>
      <c r="C8" s="21">
        <f>C5+C6</f>
        <v>230377.28571428562</v>
      </c>
      <c r="D8" s="21">
        <f>MAX((D5+D6),0)</f>
        <v>51045.629647043184</v>
      </c>
      <c r="E8" s="21">
        <f>MAX((E5+E6),0)</f>
        <v>200.75434393196386</v>
      </c>
      <c r="F8" s="21">
        <f>MAX((F5+F6),0)</f>
        <v>16843.380128322686</v>
      </c>
      <c r="G8" s="21"/>
      <c r="H8" s="21"/>
      <c r="I8" s="21"/>
      <c r="J8" s="21">
        <f>MAX((J5+J6),0)</f>
        <v>989.51925301849076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0.21001801992588057</v>
      </c>
      <c r="C10" s="31">
        <f ca="1">'EF ele_warmte'!B22</f>
        <v>0.22224334193648712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1434.4215234804201</v>
      </c>
      <c r="C12" s="23">
        <f ca="1">C8*C10</f>
        <v>51199.817883399766</v>
      </c>
      <c r="D12" s="23">
        <f>D8*D10</f>
        <v>10311.217188702723</v>
      </c>
      <c r="E12" s="23">
        <f>E8*E10</f>
        <v>45.571236072555799</v>
      </c>
      <c r="F12" s="23">
        <f>F8*F10</f>
        <v>4497.182494262157</v>
      </c>
      <c r="G12" s="23"/>
      <c r="H12" s="23"/>
      <c r="I12" s="23"/>
      <c r="J12" s="23">
        <f>J8*J10</f>
        <v>350.28981556854569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0.96919737941530382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122.94088959623545</v>
      </c>
      <c r="C26" s="247">
        <f>B26*'GWP N2O_CH4'!B5</f>
        <v>2581.7586815209443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18.541732686566405</v>
      </c>
      <c r="C27" s="247">
        <f>B27*'GWP N2O_CH4'!B5</f>
        <v>389.37638641789454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1.3882307726606333</v>
      </c>
      <c r="C28" s="247">
        <f>B28*'GWP N2O_CH4'!B4</f>
        <v>430.35153952479635</v>
      </c>
      <c r="D28" s="50"/>
    </row>
    <row r="29" spans="1:4">
      <c r="A29" s="41" t="s">
        <v>277</v>
      </c>
      <c r="B29" s="247">
        <f>B34*'ha_N2O bodem landbouw'!B4</f>
        <v>8.0166640904014699</v>
      </c>
      <c r="C29" s="247">
        <f>B29*'GWP N2O_CH4'!B4</f>
        <v>2485.1658680244554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1.8293751187761309E-3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1.2929844622301659E-4</v>
      </c>
      <c r="C5" s="463" t="s">
        <v>211</v>
      </c>
      <c r="D5" s="448">
        <f>SUM(D6:D11)</f>
        <v>4.4542224953398826E-4</v>
      </c>
      <c r="E5" s="448">
        <f>SUM(E6:E11)</f>
        <v>5.9522333832612989E-4</v>
      </c>
      <c r="F5" s="461" t="s">
        <v>211</v>
      </c>
      <c r="G5" s="448">
        <f>SUM(G6:G11)</f>
        <v>0.21365483433538077</v>
      </c>
      <c r="H5" s="448">
        <f>SUM(H6:H11)</f>
        <v>5.0249350627562819E-2</v>
      </c>
      <c r="I5" s="463" t="s">
        <v>211</v>
      </c>
      <c r="J5" s="463" t="s">
        <v>211</v>
      </c>
      <c r="K5" s="463" t="s">
        <v>211</v>
      </c>
      <c r="L5" s="463" t="s">
        <v>211</v>
      </c>
      <c r="M5" s="448">
        <f>SUM(M6:M11)</f>
        <v>1.3974255383159592E-2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1.0461493551050259E-4</v>
      </c>
      <c r="C6" s="449"/>
      <c r="D6" s="962">
        <f>vkm_2011_GW_PW*SUMIFS(TableVerdeelsleutelVkm[CNG],TableVerdeelsleutelVkm[Voertuigtype],"Lichte voertuigen")*SUMIFS(TableECFTransport[EnergieConsumptieFactor (PJ per km)],TableECFTransport[Index],CONCATENATE($A6,"_CNG_CNG"))</f>
        <v>3.1378476302014181E-4</v>
      </c>
      <c r="E6" s="962">
        <f>vkm_2011_GW_PW*SUMIFS(TableVerdeelsleutelVkm[LPG],TableVerdeelsleutelVkm[Voertuigtype],"Lichte voertuigen")*SUMIFS(TableECFTransport[EnergieConsumptieFactor (PJ per km)],TableECFTransport[Index],CONCATENATE($A6,"_LPG_LPG"))</f>
        <v>4.2867505924542437E-4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0.1108357195507252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3.5683163915611348E-2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7.5345957465312334E-3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5.6033144513394341E-2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1.7074776839756754E-5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3.2743909072723105E-3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2.4683510712513997E-5</v>
      </c>
      <c r="C8" s="449"/>
      <c r="D8" s="451">
        <f>vkm_2011_NGW_PW*SUMIFS(TableVerdeelsleutelVkm[CNG],TableVerdeelsleutelVkm[Voertuigtype],"Lichte voertuigen")*SUMIFS(TableECFTransport[EnergieConsumptieFactor (PJ per km)],TableECFTransport[Index],CONCATENATE($A8,"_CNG_CNG"))</f>
        <v>1.3163748651384645E-4</v>
      </c>
      <c r="E8" s="451">
        <f>vkm_2011_NGW_PW*SUMIFS(TableVerdeelsleutelVkm[LPG],TableVerdeelsleutelVkm[Voertuigtype],"Lichte voertuigen")*SUMIFS(TableECFTransport[EnergieConsumptieFactor (PJ per km)],TableECFTransport[Index],CONCATENATE($A8,"_LPG_LPG"))</f>
        <v>1.6654827908070557E-4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4.0128994955790358E-2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1.4547202225035943E-2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2.7762607225903535E-3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6.6569753154708455E-3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1.9097100757723419E-6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3.8900800676569471E-4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35.916235061949052</v>
      </c>
      <c r="C14" s="21"/>
      <c r="D14" s="21">
        <f t="shared" ref="D14:M14" si="0">((D5)*10^9/3600)+D12</f>
        <v>123.72840264833007</v>
      </c>
      <c r="E14" s="21">
        <f t="shared" si="0"/>
        <v>165.33981620170277</v>
      </c>
      <c r="F14" s="21"/>
      <c r="G14" s="21">
        <f t="shared" si="0"/>
        <v>59348.56509316132</v>
      </c>
      <c r="H14" s="21">
        <f t="shared" si="0"/>
        <v>13958.152952100783</v>
      </c>
      <c r="I14" s="21"/>
      <c r="J14" s="21"/>
      <c r="K14" s="21"/>
      <c r="L14" s="21"/>
      <c r="M14" s="21">
        <f t="shared" si="0"/>
        <v>3881.7376064332202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0.21001801992588057</v>
      </c>
      <c r="C16" s="56">
        <f ca="1">'EF ele_warmte'!B22</f>
        <v>0.22224334193648712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7.5430565709030262</v>
      </c>
      <c r="C18" s="23"/>
      <c r="D18" s="23">
        <f t="shared" ref="D18:M18" si="1">D14*D16</f>
        <v>24.993137334962675</v>
      </c>
      <c r="E18" s="23">
        <f t="shared" si="1"/>
        <v>37.53213827778653</v>
      </c>
      <c r="F18" s="23"/>
      <c r="G18" s="23">
        <f t="shared" si="1"/>
        <v>15846.066879874073</v>
      </c>
      <c r="H18" s="23">
        <f t="shared" si="1"/>
        <v>3475.5800850730952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8.396032216896495E-3</v>
      </c>
      <c r="H50" s="321">
        <f t="shared" si="2"/>
        <v>0</v>
      </c>
      <c r="I50" s="321">
        <f t="shared" si="2"/>
        <v>0</v>
      </c>
      <c r="J50" s="321">
        <f t="shared" si="2"/>
        <v>0</v>
      </c>
      <c r="K50" s="321">
        <f t="shared" si="2"/>
        <v>0</v>
      </c>
      <c r="L50" s="321">
        <f t="shared" si="2"/>
        <v>0</v>
      </c>
      <c r="M50" s="321">
        <f t="shared" si="2"/>
        <v>4.7685756499417218E-4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8.396032216896495E-3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4.7685756499417218E-4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2332.2311713601375</v>
      </c>
      <c r="H54" s="21">
        <f t="shared" si="3"/>
        <v>0</v>
      </c>
      <c r="I54" s="21">
        <f t="shared" si="3"/>
        <v>0</v>
      </c>
      <c r="J54" s="21">
        <f t="shared" si="3"/>
        <v>0</v>
      </c>
      <c r="K54" s="21">
        <f t="shared" si="3"/>
        <v>0</v>
      </c>
      <c r="L54" s="21">
        <f t="shared" si="3"/>
        <v>0</v>
      </c>
      <c r="M54" s="21">
        <f t="shared" si="3"/>
        <v>132.46043472060339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0.21001801992588057</v>
      </c>
      <c r="C56" s="56">
        <f ca="1">'EF ele_warmte'!B22</f>
        <v>0.22224334193648712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622.70572275315681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9945.1883189582877</v>
      </c>
      <c r="C6" s="1263"/>
      <c r="D6" s="1248"/>
      <c r="E6" s="1248"/>
      <c r="F6" s="1266"/>
      <c r="G6" s="1269"/>
      <c r="H6" s="1260"/>
      <c r="I6" s="1248"/>
      <c r="J6" s="1248"/>
      <c r="K6" s="1248"/>
      <c r="L6" s="1252"/>
      <c r="M6" s="575"/>
      <c r="N6" s="1226"/>
      <c r="O6" s="1227"/>
      <c r="Q6" s="573"/>
      <c r="R6" s="1214"/>
      <c r="S6" s="1214"/>
    </row>
    <row r="7" spans="1:19" s="563" customFormat="1">
      <c r="A7" s="576" t="s">
        <v>252</v>
      </c>
      <c r="B7" s="577">
        <f>N57</f>
        <v>170847.75</v>
      </c>
      <c r="C7" s="578">
        <f>B100</f>
        <v>181563.22274148892</v>
      </c>
      <c r="D7" s="579"/>
      <c r="E7" s="579">
        <f>E100</f>
        <v>4846.4566612311219</v>
      </c>
      <c r="F7" s="580"/>
      <c r="G7" s="581"/>
      <c r="H7" s="579">
        <f>I100</f>
        <v>0</v>
      </c>
      <c r="I7" s="579">
        <f>G100+F100</f>
        <v>14539.369983693367</v>
      </c>
      <c r="J7" s="579">
        <f>H100+D100+C100</f>
        <v>48.303554763100891</v>
      </c>
      <c r="K7" s="579"/>
      <c r="L7" s="582"/>
      <c r="M7" s="583">
        <f>C7*$C$11+D7*$D$11+E7*$E$11+F7*$F$11+G7*$G$11+H7*$H$11+I7*$I$11+J7*$J$11</f>
        <v>37969.774922329474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180792.93831895827</v>
      </c>
      <c r="C9" s="594">
        <f t="shared" ref="C9:L9" si="0">SUM(C7:C8)</f>
        <v>181563.22274148892</v>
      </c>
      <c r="D9" s="594">
        <f t="shared" si="0"/>
        <v>0</v>
      </c>
      <c r="E9" s="594">
        <f t="shared" si="0"/>
        <v>4846.4566612311219</v>
      </c>
      <c r="F9" s="594">
        <f t="shared" si="0"/>
        <v>0</v>
      </c>
      <c r="G9" s="594">
        <f t="shared" si="0"/>
        <v>0</v>
      </c>
      <c r="H9" s="594">
        <f t="shared" si="0"/>
        <v>0</v>
      </c>
      <c r="I9" s="594">
        <f t="shared" si="0"/>
        <v>14539.369983693367</v>
      </c>
      <c r="J9" s="594">
        <f t="shared" si="0"/>
        <v>48.303554763100891</v>
      </c>
      <c r="K9" s="594">
        <f t="shared" si="0"/>
        <v>0</v>
      </c>
      <c r="L9" s="594">
        <f t="shared" si="0"/>
        <v>0</v>
      </c>
      <c r="M9" s="595">
        <f>SUM(M4:M8)</f>
        <v>37969.774922329474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238429.07142857136</v>
      </c>
      <c r="C16" s="610">
        <f>B101</f>
        <v>253383.2058299396</v>
      </c>
      <c r="D16" s="611"/>
      <c r="E16" s="611">
        <f>E101</f>
        <v>6763.5433387688781</v>
      </c>
      <c r="F16" s="612"/>
      <c r="G16" s="613"/>
      <c r="H16" s="610">
        <f>I101</f>
        <v>0</v>
      </c>
      <c r="I16" s="611">
        <f>G101+F101</f>
        <v>20290.630016306633</v>
      </c>
      <c r="J16" s="611">
        <f>H101+D101+C101</f>
        <v>67.410730951184831</v>
      </c>
      <c r="K16" s="611"/>
      <c r="L16" s="614"/>
      <c r="M16" s="615">
        <f>C16*$C$21+E16*$E$21+H16*$H$21+I16*$I$21+J16*$J$21+D16*$D$21+F16*$F$21+G16*$G$21+K16*$K$21+L16*$L$21</f>
        <v>52989.273649099094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238429.07142857136</v>
      </c>
      <c r="C19" s="593">
        <f>SUM(C16:C18)</f>
        <v>253383.2058299396</v>
      </c>
      <c r="D19" s="593">
        <f t="shared" ref="D19:M19" si="1">SUM(D16:D18)</f>
        <v>0</v>
      </c>
      <c r="E19" s="593">
        <f t="shared" si="1"/>
        <v>6763.5433387688781</v>
      </c>
      <c r="F19" s="593">
        <f t="shared" si="1"/>
        <v>0</v>
      </c>
      <c r="G19" s="593">
        <f t="shared" si="1"/>
        <v>0</v>
      </c>
      <c r="H19" s="593">
        <f t="shared" si="1"/>
        <v>0</v>
      </c>
      <c r="I19" s="593">
        <f t="shared" si="1"/>
        <v>20290.630016306633</v>
      </c>
      <c r="J19" s="593">
        <f t="shared" si="1"/>
        <v>67.410730951184831</v>
      </c>
      <c r="K19" s="593">
        <f t="shared" si="1"/>
        <v>0</v>
      </c>
      <c r="L19" s="593">
        <f t="shared" si="1"/>
        <v>0</v>
      </c>
      <c r="M19" s="620">
        <f t="shared" si="1"/>
        <v>52989.273649099094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12035</v>
      </c>
      <c r="C27" s="851">
        <v>2860</v>
      </c>
      <c r="D27" s="672" t="s">
        <v>844</v>
      </c>
      <c r="E27" s="671" t="s">
        <v>845</v>
      </c>
      <c r="F27" s="671" t="s">
        <v>846</v>
      </c>
      <c r="G27" s="671" t="s">
        <v>847</v>
      </c>
      <c r="H27" s="671" t="s">
        <v>848</v>
      </c>
      <c r="I27" s="671" t="s">
        <v>845</v>
      </c>
      <c r="J27" s="850">
        <v>40568</v>
      </c>
      <c r="K27" s="850">
        <v>39203</v>
      </c>
      <c r="L27" s="671" t="s">
        <v>849</v>
      </c>
      <c r="M27" s="671">
        <v>1129</v>
      </c>
      <c r="N27" s="671">
        <v>5080.5</v>
      </c>
      <c r="O27" s="671">
        <v>5715.5625</v>
      </c>
      <c r="P27" s="671">
        <v>0</v>
      </c>
      <c r="Q27" s="671">
        <v>0</v>
      </c>
      <c r="R27" s="671">
        <v>0</v>
      </c>
      <c r="S27" s="671">
        <v>3175.3125</v>
      </c>
      <c r="T27" s="671">
        <v>9525.9375</v>
      </c>
      <c r="U27" s="671">
        <v>0</v>
      </c>
      <c r="V27" s="671">
        <v>0</v>
      </c>
      <c r="W27" s="671">
        <v>0</v>
      </c>
      <c r="X27" s="671">
        <v>10</v>
      </c>
      <c r="Y27" s="671" t="s">
        <v>112</v>
      </c>
      <c r="Z27" s="673" t="s">
        <v>112</v>
      </c>
    </row>
    <row r="28" spans="1:26" s="625" customFormat="1" ht="25.5">
      <c r="A28" s="624"/>
      <c r="B28" s="851">
        <v>12035</v>
      </c>
      <c r="C28" s="851">
        <v>2861</v>
      </c>
      <c r="D28" s="672" t="s">
        <v>850</v>
      </c>
      <c r="E28" s="671" t="s">
        <v>851</v>
      </c>
      <c r="F28" s="671" t="s">
        <v>852</v>
      </c>
      <c r="G28" s="671" t="s">
        <v>847</v>
      </c>
      <c r="H28" s="671" t="s">
        <v>853</v>
      </c>
      <c r="I28" s="671" t="s">
        <v>851</v>
      </c>
      <c r="J28" s="850">
        <v>40570</v>
      </c>
      <c r="K28" s="850">
        <v>39247</v>
      </c>
      <c r="L28" s="671" t="s">
        <v>849</v>
      </c>
      <c r="M28" s="671">
        <v>1752</v>
      </c>
      <c r="N28" s="671">
        <v>7884</v>
      </c>
      <c r="O28" s="671">
        <v>11262.857142857143</v>
      </c>
      <c r="P28" s="671">
        <v>22525.714285714286</v>
      </c>
      <c r="Q28" s="671">
        <v>0</v>
      </c>
      <c r="R28" s="671">
        <v>0</v>
      </c>
      <c r="S28" s="671">
        <v>0</v>
      </c>
      <c r="T28" s="671">
        <v>0</v>
      </c>
      <c r="U28" s="671">
        <v>0</v>
      </c>
      <c r="V28" s="671">
        <v>0</v>
      </c>
      <c r="W28" s="671">
        <v>0</v>
      </c>
      <c r="X28" s="671">
        <v>10</v>
      </c>
      <c r="Y28" s="671" t="s">
        <v>112</v>
      </c>
      <c r="Z28" s="673" t="s">
        <v>112</v>
      </c>
    </row>
    <row r="29" spans="1:26" s="625" customFormat="1" ht="25.5">
      <c r="A29" s="624"/>
      <c r="B29" s="851">
        <v>12035</v>
      </c>
      <c r="C29" s="851">
        <v>2861</v>
      </c>
      <c r="D29" s="672" t="s">
        <v>854</v>
      </c>
      <c r="E29" s="671" t="s">
        <v>855</v>
      </c>
      <c r="F29" s="671" t="s">
        <v>856</v>
      </c>
      <c r="G29" s="671" t="s">
        <v>847</v>
      </c>
      <c r="H29" s="671" t="s">
        <v>853</v>
      </c>
      <c r="I29" s="671" t="s">
        <v>855</v>
      </c>
      <c r="J29" s="850">
        <v>39263</v>
      </c>
      <c r="K29" s="850">
        <v>39261</v>
      </c>
      <c r="L29" s="671" t="s">
        <v>849</v>
      </c>
      <c r="M29" s="671">
        <v>1984</v>
      </c>
      <c r="N29" s="671">
        <v>8928</v>
      </c>
      <c r="O29" s="671">
        <v>12754.285714285714</v>
      </c>
      <c r="P29" s="671">
        <v>25508.571428571431</v>
      </c>
      <c r="Q29" s="671">
        <v>0</v>
      </c>
      <c r="R29" s="671">
        <v>0</v>
      </c>
      <c r="S29" s="671">
        <v>0</v>
      </c>
      <c r="T29" s="671">
        <v>0</v>
      </c>
      <c r="U29" s="671">
        <v>0</v>
      </c>
      <c r="V29" s="671">
        <v>0</v>
      </c>
      <c r="W29" s="671">
        <v>0</v>
      </c>
      <c r="X29" s="671">
        <v>10</v>
      </c>
      <c r="Y29" s="671" t="s">
        <v>112</v>
      </c>
      <c r="Z29" s="673" t="s">
        <v>112</v>
      </c>
    </row>
    <row r="30" spans="1:26" s="625" customFormat="1" ht="25.5">
      <c r="A30" s="624"/>
      <c r="B30" s="851">
        <v>12035</v>
      </c>
      <c r="C30" s="851">
        <v>2861</v>
      </c>
      <c r="D30" s="672" t="s">
        <v>857</v>
      </c>
      <c r="E30" s="671" t="s">
        <v>858</v>
      </c>
      <c r="F30" s="671" t="s">
        <v>859</v>
      </c>
      <c r="G30" s="671" t="s">
        <v>847</v>
      </c>
      <c r="H30" s="671" t="s">
        <v>853</v>
      </c>
      <c r="I30" s="671" t="s">
        <v>858</v>
      </c>
      <c r="J30" s="850">
        <v>39322</v>
      </c>
      <c r="K30" s="850">
        <v>39352</v>
      </c>
      <c r="L30" s="671" t="s">
        <v>849</v>
      </c>
      <c r="M30" s="671">
        <v>1564</v>
      </c>
      <c r="N30" s="671">
        <v>7038</v>
      </c>
      <c r="O30" s="671">
        <v>10054.285714285714</v>
      </c>
      <c r="P30" s="671">
        <v>20108.571428571431</v>
      </c>
      <c r="Q30" s="671">
        <v>0</v>
      </c>
      <c r="R30" s="671">
        <v>0</v>
      </c>
      <c r="S30" s="671">
        <v>0</v>
      </c>
      <c r="T30" s="671">
        <v>0</v>
      </c>
      <c r="U30" s="671">
        <v>0</v>
      </c>
      <c r="V30" s="671">
        <v>0</v>
      </c>
      <c r="W30" s="671">
        <v>0</v>
      </c>
      <c r="X30" s="671">
        <v>10</v>
      </c>
      <c r="Y30" s="671" t="s">
        <v>112</v>
      </c>
      <c r="Z30" s="673" t="s">
        <v>112</v>
      </c>
    </row>
    <row r="31" spans="1:26" s="625" customFormat="1" ht="38.25">
      <c r="A31" s="624"/>
      <c r="B31" s="851">
        <v>12035</v>
      </c>
      <c r="C31" s="851">
        <v>2861</v>
      </c>
      <c r="D31" s="672" t="s">
        <v>860</v>
      </c>
      <c r="E31" s="671" t="s">
        <v>861</v>
      </c>
      <c r="F31" s="671" t="s">
        <v>862</v>
      </c>
      <c r="G31" s="671" t="s">
        <v>847</v>
      </c>
      <c r="H31" s="671" t="s">
        <v>853</v>
      </c>
      <c r="I31" s="671" t="s">
        <v>861</v>
      </c>
      <c r="J31" s="850">
        <v>40921</v>
      </c>
      <c r="K31" s="850">
        <v>39455</v>
      </c>
      <c r="L31" s="671" t="s">
        <v>849</v>
      </c>
      <c r="M31" s="671">
        <v>2566</v>
      </c>
      <c r="N31" s="671">
        <v>11547</v>
      </c>
      <c r="O31" s="671">
        <v>16495.714285714286</v>
      </c>
      <c r="P31" s="671">
        <v>32991.428571428572</v>
      </c>
      <c r="Q31" s="671">
        <v>0</v>
      </c>
      <c r="R31" s="671">
        <v>0</v>
      </c>
      <c r="S31" s="671">
        <v>0</v>
      </c>
      <c r="T31" s="671">
        <v>0</v>
      </c>
      <c r="U31" s="671">
        <v>0</v>
      </c>
      <c r="V31" s="671">
        <v>0</v>
      </c>
      <c r="W31" s="671">
        <v>0</v>
      </c>
      <c r="X31" s="671">
        <v>10</v>
      </c>
      <c r="Y31" s="671" t="s">
        <v>112</v>
      </c>
      <c r="Z31" s="673" t="s">
        <v>112</v>
      </c>
    </row>
    <row r="32" spans="1:26" s="625" customFormat="1" ht="25.5">
      <c r="A32" s="624"/>
      <c r="B32" s="851">
        <v>12035</v>
      </c>
      <c r="C32" s="851">
        <v>2861</v>
      </c>
      <c r="D32" s="672" t="s">
        <v>863</v>
      </c>
      <c r="E32" s="671" t="s">
        <v>864</v>
      </c>
      <c r="F32" s="671" t="s">
        <v>865</v>
      </c>
      <c r="G32" s="671" t="s">
        <v>847</v>
      </c>
      <c r="H32" s="671" t="s">
        <v>853</v>
      </c>
      <c r="I32" s="671" t="s">
        <v>864</v>
      </c>
      <c r="J32" s="850">
        <v>39462</v>
      </c>
      <c r="K32" s="850">
        <v>39471</v>
      </c>
      <c r="L32" s="671" t="s">
        <v>849</v>
      </c>
      <c r="M32" s="671">
        <v>1006</v>
      </c>
      <c r="N32" s="671">
        <v>4527</v>
      </c>
      <c r="O32" s="671">
        <v>6467.1428571428569</v>
      </c>
      <c r="P32" s="671">
        <v>12934.285714285716</v>
      </c>
      <c r="Q32" s="671">
        <v>0</v>
      </c>
      <c r="R32" s="671">
        <v>0</v>
      </c>
      <c r="S32" s="671">
        <v>0</v>
      </c>
      <c r="T32" s="671">
        <v>0</v>
      </c>
      <c r="U32" s="671">
        <v>0</v>
      </c>
      <c r="V32" s="671">
        <v>0</v>
      </c>
      <c r="W32" s="671">
        <v>0</v>
      </c>
      <c r="X32" s="671">
        <v>10</v>
      </c>
      <c r="Y32" s="671" t="s">
        <v>112</v>
      </c>
      <c r="Z32" s="673" t="s">
        <v>112</v>
      </c>
    </row>
    <row r="33" spans="1:26" s="625" customFormat="1" ht="25.5">
      <c r="A33" s="624"/>
      <c r="B33" s="851">
        <v>12035</v>
      </c>
      <c r="C33" s="851">
        <v>2860</v>
      </c>
      <c r="D33" s="672" t="s">
        <v>866</v>
      </c>
      <c r="E33" s="671" t="s">
        <v>867</v>
      </c>
      <c r="F33" s="671" t="s">
        <v>868</v>
      </c>
      <c r="G33" s="671" t="s">
        <v>847</v>
      </c>
      <c r="H33" s="671" t="s">
        <v>853</v>
      </c>
      <c r="I33" s="671" t="s">
        <v>867</v>
      </c>
      <c r="J33" s="850">
        <v>39653</v>
      </c>
      <c r="K33" s="850">
        <v>39688</v>
      </c>
      <c r="L33" s="671" t="s">
        <v>849</v>
      </c>
      <c r="M33" s="671">
        <v>1158</v>
      </c>
      <c r="N33" s="671">
        <v>5211</v>
      </c>
      <c r="O33" s="671">
        <v>7444.2857142857147</v>
      </c>
      <c r="P33" s="671">
        <v>14888.571428571429</v>
      </c>
      <c r="Q33" s="671">
        <v>0</v>
      </c>
      <c r="R33" s="671">
        <v>0</v>
      </c>
      <c r="S33" s="671">
        <v>0</v>
      </c>
      <c r="T33" s="671">
        <v>0</v>
      </c>
      <c r="U33" s="671">
        <v>0</v>
      </c>
      <c r="V33" s="671">
        <v>0</v>
      </c>
      <c r="W33" s="671">
        <v>0</v>
      </c>
      <c r="X33" s="671">
        <v>10</v>
      </c>
      <c r="Y33" s="671" t="s">
        <v>112</v>
      </c>
      <c r="Z33" s="673" t="s">
        <v>112</v>
      </c>
    </row>
    <row r="34" spans="1:26" s="625" customFormat="1" ht="38.25">
      <c r="A34" s="624"/>
      <c r="B34" s="851">
        <v>12035</v>
      </c>
      <c r="C34" s="851">
        <v>2861</v>
      </c>
      <c r="D34" s="672" t="s">
        <v>869</v>
      </c>
      <c r="E34" s="671" t="s">
        <v>870</v>
      </c>
      <c r="F34" s="671" t="s">
        <v>871</v>
      </c>
      <c r="G34" s="671" t="s">
        <v>847</v>
      </c>
      <c r="H34" s="671" t="s">
        <v>853</v>
      </c>
      <c r="I34" s="671" t="s">
        <v>870</v>
      </c>
      <c r="J34" s="850">
        <v>39805</v>
      </c>
      <c r="K34" s="850">
        <v>39805</v>
      </c>
      <c r="L34" s="671" t="s">
        <v>849</v>
      </c>
      <c r="M34" s="671">
        <v>2014</v>
      </c>
      <c r="N34" s="671">
        <v>9062.9999999999982</v>
      </c>
      <c r="O34" s="671">
        <v>12947.142857142855</v>
      </c>
      <c r="P34" s="671">
        <v>25894.28571428571</v>
      </c>
      <c r="Q34" s="671">
        <v>0</v>
      </c>
      <c r="R34" s="671">
        <v>0</v>
      </c>
      <c r="S34" s="671">
        <v>0</v>
      </c>
      <c r="T34" s="671">
        <v>0</v>
      </c>
      <c r="U34" s="671">
        <v>0</v>
      </c>
      <c r="V34" s="671">
        <v>0</v>
      </c>
      <c r="W34" s="671">
        <v>0</v>
      </c>
      <c r="X34" s="671">
        <v>10</v>
      </c>
      <c r="Y34" s="671" t="s">
        <v>112</v>
      </c>
      <c r="Z34" s="673" t="s">
        <v>112</v>
      </c>
    </row>
    <row r="35" spans="1:26" s="625" customFormat="1" ht="38.25">
      <c r="A35" s="624"/>
      <c r="B35" s="851">
        <v>12035</v>
      </c>
      <c r="C35" s="851">
        <v>2860</v>
      </c>
      <c r="D35" s="672" t="s">
        <v>872</v>
      </c>
      <c r="E35" s="671" t="s">
        <v>873</v>
      </c>
      <c r="F35" s="671" t="s">
        <v>874</v>
      </c>
      <c r="G35" s="671" t="s">
        <v>847</v>
      </c>
      <c r="H35" s="671" t="s">
        <v>848</v>
      </c>
      <c r="I35" s="671" t="s">
        <v>873</v>
      </c>
      <c r="J35" s="850">
        <v>39834</v>
      </c>
      <c r="K35" s="850">
        <v>39834</v>
      </c>
      <c r="L35" s="671" t="s">
        <v>875</v>
      </c>
      <c r="M35" s="671">
        <v>773</v>
      </c>
      <c r="N35" s="671">
        <v>3478.5</v>
      </c>
      <c r="O35" s="671">
        <v>3913.3125</v>
      </c>
      <c r="P35" s="671">
        <v>0</v>
      </c>
      <c r="Q35" s="671">
        <v>0</v>
      </c>
      <c r="R35" s="671">
        <v>0</v>
      </c>
      <c r="S35" s="671">
        <v>2174.0625</v>
      </c>
      <c r="T35" s="671">
        <v>6522.1875</v>
      </c>
      <c r="U35" s="671">
        <v>0</v>
      </c>
      <c r="V35" s="671">
        <v>0</v>
      </c>
      <c r="W35" s="671">
        <v>0</v>
      </c>
      <c r="X35" s="671">
        <v>10</v>
      </c>
      <c r="Y35" s="671" t="s">
        <v>112</v>
      </c>
      <c r="Z35" s="673" t="s">
        <v>112</v>
      </c>
    </row>
    <row r="36" spans="1:26" s="625" customFormat="1" ht="25.5">
      <c r="A36" s="624"/>
      <c r="B36" s="851">
        <v>12035</v>
      </c>
      <c r="C36" s="851">
        <v>2861</v>
      </c>
      <c r="D36" s="672" t="s">
        <v>876</v>
      </c>
      <c r="E36" s="671" t="s">
        <v>877</v>
      </c>
      <c r="F36" s="671" t="s">
        <v>878</v>
      </c>
      <c r="G36" s="671" t="s">
        <v>847</v>
      </c>
      <c r="H36" s="671" t="s">
        <v>853</v>
      </c>
      <c r="I36" s="671" t="s">
        <v>879</v>
      </c>
      <c r="J36" s="850">
        <v>39910</v>
      </c>
      <c r="K36" s="850">
        <v>39910</v>
      </c>
      <c r="L36" s="671" t="s">
        <v>849</v>
      </c>
      <c r="M36" s="671">
        <v>1400</v>
      </c>
      <c r="N36" s="671">
        <v>6300</v>
      </c>
      <c r="O36" s="671">
        <v>9000</v>
      </c>
      <c r="P36" s="671">
        <v>18000</v>
      </c>
      <c r="Q36" s="671">
        <v>0</v>
      </c>
      <c r="R36" s="671">
        <v>0</v>
      </c>
      <c r="S36" s="671">
        <v>0</v>
      </c>
      <c r="T36" s="671">
        <v>0</v>
      </c>
      <c r="U36" s="671">
        <v>0</v>
      </c>
      <c r="V36" s="671">
        <v>0</v>
      </c>
      <c r="W36" s="671">
        <v>0</v>
      </c>
      <c r="X36" s="671">
        <v>10</v>
      </c>
      <c r="Y36" s="671" t="s">
        <v>112</v>
      </c>
      <c r="Z36" s="673" t="s">
        <v>112</v>
      </c>
    </row>
    <row r="37" spans="1:26" s="625" customFormat="1" ht="25.5">
      <c r="A37" s="624"/>
      <c r="B37" s="851">
        <v>12035</v>
      </c>
      <c r="C37" s="851">
        <v>2861</v>
      </c>
      <c r="D37" s="672" t="s">
        <v>880</v>
      </c>
      <c r="E37" s="671" t="s">
        <v>881</v>
      </c>
      <c r="F37" s="671" t="s">
        <v>882</v>
      </c>
      <c r="G37" s="671" t="s">
        <v>847</v>
      </c>
      <c r="H37" s="671" t="s">
        <v>853</v>
      </c>
      <c r="I37" s="671" t="s">
        <v>881</v>
      </c>
      <c r="J37" s="850">
        <v>40006</v>
      </c>
      <c r="K37" s="850">
        <v>40007</v>
      </c>
      <c r="L37" s="671" t="s">
        <v>849</v>
      </c>
      <c r="M37" s="671">
        <v>1562</v>
      </c>
      <c r="N37" s="671">
        <v>7029</v>
      </c>
      <c r="O37" s="671">
        <v>10041.428571428572</v>
      </c>
      <c r="P37" s="671">
        <v>20082.857142857145</v>
      </c>
      <c r="Q37" s="671">
        <v>0</v>
      </c>
      <c r="R37" s="671">
        <v>0</v>
      </c>
      <c r="S37" s="671">
        <v>0</v>
      </c>
      <c r="T37" s="671">
        <v>0</v>
      </c>
      <c r="U37" s="671">
        <v>0</v>
      </c>
      <c r="V37" s="671">
        <v>0</v>
      </c>
      <c r="W37" s="671">
        <v>0</v>
      </c>
      <c r="X37" s="671">
        <v>10</v>
      </c>
      <c r="Y37" s="671" t="s">
        <v>112</v>
      </c>
      <c r="Z37" s="673" t="s">
        <v>112</v>
      </c>
    </row>
    <row r="38" spans="1:26" s="625" customFormat="1" ht="25.5">
      <c r="A38" s="624"/>
      <c r="B38" s="851">
        <v>12035</v>
      </c>
      <c r="C38" s="851">
        <v>2860</v>
      </c>
      <c r="D38" s="672" t="s">
        <v>883</v>
      </c>
      <c r="E38" s="671" t="s">
        <v>884</v>
      </c>
      <c r="F38" s="671" t="s">
        <v>885</v>
      </c>
      <c r="G38" s="671" t="s">
        <v>847</v>
      </c>
      <c r="H38" s="671" t="s">
        <v>853</v>
      </c>
      <c r="I38" s="671" t="s">
        <v>884</v>
      </c>
      <c r="J38" s="850">
        <v>40058</v>
      </c>
      <c r="K38" s="850">
        <v>40058</v>
      </c>
      <c r="L38" s="671" t="s">
        <v>849</v>
      </c>
      <c r="M38" s="671">
        <v>2014</v>
      </c>
      <c r="N38" s="671">
        <v>9062.9999999999982</v>
      </c>
      <c r="O38" s="671">
        <v>12947.142857142855</v>
      </c>
      <c r="P38" s="671">
        <v>25894.28571428571</v>
      </c>
      <c r="Q38" s="671">
        <v>0</v>
      </c>
      <c r="R38" s="671">
        <v>0</v>
      </c>
      <c r="S38" s="671">
        <v>0</v>
      </c>
      <c r="T38" s="671">
        <v>0</v>
      </c>
      <c r="U38" s="671">
        <v>0</v>
      </c>
      <c r="V38" s="671">
        <v>0</v>
      </c>
      <c r="W38" s="671">
        <v>0</v>
      </c>
      <c r="X38" s="671">
        <v>10</v>
      </c>
      <c r="Y38" s="671" t="s">
        <v>112</v>
      </c>
      <c r="Z38" s="673" t="s">
        <v>112</v>
      </c>
    </row>
    <row r="39" spans="1:26" s="625" customFormat="1" ht="25.5">
      <c r="A39" s="624"/>
      <c r="B39" s="851">
        <v>12035</v>
      </c>
      <c r="C39" s="851">
        <v>2861</v>
      </c>
      <c r="D39" s="672" t="s">
        <v>886</v>
      </c>
      <c r="E39" s="671" t="s">
        <v>887</v>
      </c>
      <c r="F39" s="671" t="s">
        <v>888</v>
      </c>
      <c r="G39" s="671" t="s">
        <v>847</v>
      </c>
      <c r="H39" s="671" t="s">
        <v>853</v>
      </c>
      <c r="I39" s="671" t="s">
        <v>887</v>
      </c>
      <c r="J39" s="850">
        <v>40108</v>
      </c>
      <c r="K39" s="850">
        <v>40112</v>
      </c>
      <c r="L39" s="671" t="s">
        <v>849</v>
      </c>
      <c r="M39" s="671">
        <v>2014</v>
      </c>
      <c r="N39" s="671">
        <v>9062.9999999999982</v>
      </c>
      <c r="O39" s="671">
        <v>12947.142857142855</v>
      </c>
      <c r="P39" s="671">
        <v>25894.28571428571</v>
      </c>
      <c r="Q39" s="671">
        <v>0</v>
      </c>
      <c r="R39" s="671">
        <v>0</v>
      </c>
      <c r="S39" s="671">
        <v>0</v>
      </c>
      <c r="T39" s="671">
        <v>0</v>
      </c>
      <c r="U39" s="671">
        <v>0</v>
      </c>
      <c r="V39" s="671">
        <v>0</v>
      </c>
      <c r="W39" s="671">
        <v>0</v>
      </c>
      <c r="X39" s="671">
        <v>10</v>
      </c>
      <c r="Y39" s="671" t="s">
        <v>112</v>
      </c>
      <c r="Z39" s="673" t="s">
        <v>112</v>
      </c>
    </row>
    <row r="40" spans="1:26" s="625" customFormat="1" ht="25.5">
      <c r="A40" s="624"/>
      <c r="B40" s="851">
        <v>12035</v>
      </c>
      <c r="C40" s="851">
        <v>2860</v>
      </c>
      <c r="D40" s="672" t="s">
        <v>889</v>
      </c>
      <c r="E40" s="671" t="s">
        <v>890</v>
      </c>
      <c r="F40" s="671" t="s">
        <v>891</v>
      </c>
      <c r="G40" s="671" t="s">
        <v>847</v>
      </c>
      <c r="H40" s="671" t="s">
        <v>853</v>
      </c>
      <c r="I40" s="671" t="s">
        <v>892</v>
      </c>
      <c r="J40" s="850">
        <v>41985</v>
      </c>
      <c r="K40" s="850">
        <v>40193</v>
      </c>
      <c r="L40" s="671" t="s">
        <v>849</v>
      </c>
      <c r="M40" s="671">
        <v>2789</v>
      </c>
      <c r="N40" s="671">
        <v>12550.5</v>
      </c>
      <c r="O40" s="671">
        <v>17929.285714285714</v>
      </c>
      <c r="P40" s="671">
        <v>35858.571428571428</v>
      </c>
      <c r="Q40" s="671">
        <v>0</v>
      </c>
      <c r="R40" s="671">
        <v>0</v>
      </c>
      <c r="S40" s="671">
        <v>0</v>
      </c>
      <c r="T40" s="671">
        <v>0</v>
      </c>
      <c r="U40" s="671">
        <v>0</v>
      </c>
      <c r="V40" s="671">
        <v>0</v>
      </c>
      <c r="W40" s="671">
        <v>0</v>
      </c>
      <c r="X40" s="671">
        <v>10</v>
      </c>
      <c r="Y40" s="671" t="s">
        <v>112</v>
      </c>
      <c r="Z40" s="673" t="s">
        <v>112</v>
      </c>
    </row>
    <row r="41" spans="1:26" s="625" customFormat="1" ht="38.25">
      <c r="A41" s="624"/>
      <c r="B41" s="851">
        <v>12035</v>
      </c>
      <c r="C41" s="851">
        <v>2861</v>
      </c>
      <c r="D41" s="672" t="s">
        <v>893</v>
      </c>
      <c r="E41" s="671" t="s">
        <v>894</v>
      </c>
      <c r="F41" s="671" t="s">
        <v>895</v>
      </c>
      <c r="G41" s="671" t="s">
        <v>847</v>
      </c>
      <c r="H41" s="671" t="s">
        <v>848</v>
      </c>
      <c r="I41" s="671" t="s">
        <v>894</v>
      </c>
      <c r="J41" s="850">
        <v>40196</v>
      </c>
      <c r="K41" s="850">
        <v>40196</v>
      </c>
      <c r="L41" s="671" t="s">
        <v>849</v>
      </c>
      <c r="M41" s="671">
        <v>640</v>
      </c>
      <c r="N41" s="671">
        <v>2880</v>
      </c>
      <c r="O41" s="671">
        <v>3240</v>
      </c>
      <c r="P41" s="671">
        <v>0</v>
      </c>
      <c r="Q41" s="671">
        <v>0</v>
      </c>
      <c r="R41" s="671">
        <v>0</v>
      </c>
      <c r="S41" s="671">
        <v>1800</v>
      </c>
      <c r="T41" s="671">
        <v>5400</v>
      </c>
      <c r="U41" s="671">
        <v>0</v>
      </c>
      <c r="V41" s="671">
        <v>0</v>
      </c>
      <c r="W41" s="671">
        <v>0</v>
      </c>
      <c r="X41" s="671">
        <v>10</v>
      </c>
      <c r="Y41" s="671" t="s">
        <v>112</v>
      </c>
      <c r="Z41" s="673" t="s">
        <v>112</v>
      </c>
    </row>
    <row r="42" spans="1:26" s="625" customFormat="1" ht="38.25">
      <c r="A42" s="624"/>
      <c r="B42" s="851">
        <v>12035</v>
      </c>
      <c r="C42" s="851">
        <v>2860</v>
      </c>
      <c r="D42" s="672" t="s">
        <v>896</v>
      </c>
      <c r="E42" s="671" t="s">
        <v>897</v>
      </c>
      <c r="F42" s="671" t="s">
        <v>898</v>
      </c>
      <c r="G42" s="671" t="s">
        <v>847</v>
      </c>
      <c r="H42" s="671" t="s">
        <v>848</v>
      </c>
      <c r="I42" s="671" t="s">
        <v>897</v>
      </c>
      <c r="J42" s="850">
        <v>40315</v>
      </c>
      <c r="K42" s="850">
        <v>40315</v>
      </c>
      <c r="L42" s="671" t="s">
        <v>849</v>
      </c>
      <c r="M42" s="671">
        <v>1058</v>
      </c>
      <c r="N42" s="671">
        <v>4761</v>
      </c>
      <c r="O42" s="671">
        <v>5356.125</v>
      </c>
      <c r="P42" s="671">
        <v>0</v>
      </c>
      <c r="Q42" s="671">
        <v>0</v>
      </c>
      <c r="R42" s="671">
        <v>0</v>
      </c>
      <c r="S42" s="671">
        <v>2975.625</v>
      </c>
      <c r="T42" s="671">
        <v>8926.875</v>
      </c>
      <c r="U42" s="671">
        <v>0</v>
      </c>
      <c r="V42" s="671">
        <v>0</v>
      </c>
      <c r="W42" s="671">
        <v>0</v>
      </c>
      <c r="X42" s="671">
        <v>10</v>
      </c>
      <c r="Y42" s="671" t="s">
        <v>112</v>
      </c>
      <c r="Z42" s="673" t="s">
        <v>112</v>
      </c>
    </row>
    <row r="43" spans="1:26" s="625" customFormat="1" ht="25.5">
      <c r="A43" s="624"/>
      <c r="B43" s="851">
        <v>12035</v>
      </c>
      <c r="C43" s="851">
        <v>2860</v>
      </c>
      <c r="D43" s="672" t="s">
        <v>899</v>
      </c>
      <c r="E43" s="671" t="s">
        <v>900</v>
      </c>
      <c r="F43" s="671" t="s">
        <v>901</v>
      </c>
      <c r="G43" s="671" t="s">
        <v>847</v>
      </c>
      <c r="H43" s="671" t="s">
        <v>853</v>
      </c>
      <c r="I43" s="671" t="s">
        <v>900</v>
      </c>
      <c r="J43" s="850">
        <v>40396</v>
      </c>
      <c r="K43" s="850">
        <v>40399</v>
      </c>
      <c r="L43" s="671" t="s">
        <v>849</v>
      </c>
      <c r="M43" s="671">
        <v>1008</v>
      </c>
      <c r="N43" s="671">
        <v>4536</v>
      </c>
      <c r="O43" s="671">
        <v>6480</v>
      </c>
      <c r="P43" s="671">
        <v>12960</v>
      </c>
      <c r="Q43" s="671">
        <v>0</v>
      </c>
      <c r="R43" s="671">
        <v>0</v>
      </c>
      <c r="S43" s="671">
        <v>0</v>
      </c>
      <c r="T43" s="671">
        <v>0</v>
      </c>
      <c r="U43" s="671">
        <v>0</v>
      </c>
      <c r="V43" s="671">
        <v>0</v>
      </c>
      <c r="W43" s="671">
        <v>0</v>
      </c>
      <c r="X43" s="671">
        <v>10</v>
      </c>
      <c r="Y43" s="671" t="s">
        <v>112</v>
      </c>
      <c r="Z43" s="673" t="s">
        <v>112</v>
      </c>
    </row>
    <row r="44" spans="1:26" s="625" customFormat="1" ht="25.5">
      <c r="A44" s="624"/>
      <c r="B44" s="851">
        <v>12035</v>
      </c>
      <c r="C44" s="851">
        <v>2861</v>
      </c>
      <c r="D44" s="672" t="s">
        <v>902</v>
      </c>
      <c r="E44" s="671" t="s">
        <v>903</v>
      </c>
      <c r="F44" s="671" t="s">
        <v>904</v>
      </c>
      <c r="G44" s="671" t="s">
        <v>847</v>
      </c>
      <c r="H44" s="671" t="s">
        <v>853</v>
      </c>
      <c r="I44" s="671" t="s">
        <v>903</v>
      </c>
      <c r="J44" s="850">
        <v>40466</v>
      </c>
      <c r="K44" s="850">
        <v>40466</v>
      </c>
      <c r="L44" s="671" t="s">
        <v>849</v>
      </c>
      <c r="M44" s="671">
        <v>800</v>
      </c>
      <c r="N44" s="671">
        <v>3600</v>
      </c>
      <c r="O44" s="671">
        <v>5142.8571428571431</v>
      </c>
      <c r="P44" s="671">
        <v>10285.714285714286</v>
      </c>
      <c r="Q44" s="671">
        <v>0</v>
      </c>
      <c r="R44" s="671">
        <v>0</v>
      </c>
      <c r="S44" s="671">
        <v>0</v>
      </c>
      <c r="T44" s="671">
        <v>0</v>
      </c>
      <c r="U44" s="671">
        <v>0</v>
      </c>
      <c r="V44" s="671">
        <v>0</v>
      </c>
      <c r="W44" s="671">
        <v>0</v>
      </c>
      <c r="X44" s="671">
        <v>10</v>
      </c>
      <c r="Y44" s="671" t="s">
        <v>112</v>
      </c>
      <c r="Z44" s="673" t="s">
        <v>112</v>
      </c>
    </row>
    <row r="45" spans="1:26" s="625" customFormat="1" ht="38.25">
      <c r="A45" s="624"/>
      <c r="B45" s="851">
        <v>12035</v>
      </c>
      <c r="C45" s="851">
        <v>2861</v>
      </c>
      <c r="D45" s="672" t="s">
        <v>905</v>
      </c>
      <c r="E45" s="671" t="s">
        <v>906</v>
      </c>
      <c r="F45" s="671" t="s">
        <v>907</v>
      </c>
      <c r="G45" s="671" t="s">
        <v>847</v>
      </c>
      <c r="H45" s="671" t="s">
        <v>848</v>
      </c>
      <c r="I45" s="671" t="s">
        <v>906</v>
      </c>
      <c r="J45" s="850">
        <v>40477</v>
      </c>
      <c r="K45" s="850">
        <v>40477</v>
      </c>
      <c r="L45" s="671" t="s">
        <v>875</v>
      </c>
      <c r="M45" s="671">
        <v>528</v>
      </c>
      <c r="N45" s="671">
        <v>2376</v>
      </c>
      <c r="O45" s="671">
        <v>2673</v>
      </c>
      <c r="P45" s="671">
        <v>0</v>
      </c>
      <c r="Q45" s="671">
        <v>0</v>
      </c>
      <c r="R45" s="671">
        <v>0</v>
      </c>
      <c r="S45" s="671">
        <v>1485</v>
      </c>
      <c r="T45" s="671">
        <v>4455</v>
      </c>
      <c r="U45" s="671">
        <v>0</v>
      </c>
      <c r="V45" s="671">
        <v>0</v>
      </c>
      <c r="W45" s="671">
        <v>0</v>
      </c>
      <c r="X45" s="671">
        <v>10</v>
      </c>
      <c r="Y45" s="671" t="s">
        <v>112</v>
      </c>
      <c r="Z45" s="673" t="s">
        <v>112</v>
      </c>
    </row>
    <row r="46" spans="1:26" s="625" customFormat="1" ht="25.5">
      <c r="A46" s="624"/>
      <c r="B46" s="851">
        <v>12035</v>
      </c>
      <c r="C46" s="851">
        <v>2861</v>
      </c>
      <c r="D46" s="672" t="s">
        <v>876</v>
      </c>
      <c r="E46" s="671" t="s">
        <v>877</v>
      </c>
      <c r="F46" s="671" t="s">
        <v>908</v>
      </c>
      <c r="G46" s="671" t="s">
        <v>847</v>
      </c>
      <c r="H46" s="671" t="s">
        <v>853</v>
      </c>
      <c r="I46" s="671" t="s">
        <v>909</v>
      </c>
      <c r="J46" s="850">
        <v>40472</v>
      </c>
      <c r="K46" s="850">
        <v>40478</v>
      </c>
      <c r="L46" s="671" t="s">
        <v>849</v>
      </c>
      <c r="M46" s="671">
        <v>2040</v>
      </c>
      <c r="N46" s="671">
        <v>9180</v>
      </c>
      <c r="O46" s="671">
        <v>13114.285714285714</v>
      </c>
      <c r="P46" s="671">
        <v>26228.571428571431</v>
      </c>
      <c r="Q46" s="671">
        <v>0</v>
      </c>
      <c r="R46" s="671">
        <v>0</v>
      </c>
      <c r="S46" s="671">
        <v>0</v>
      </c>
      <c r="T46" s="671">
        <v>0</v>
      </c>
      <c r="U46" s="671">
        <v>0</v>
      </c>
      <c r="V46" s="671">
        <v>0</v>
      </c>
      <c r="W46" s="671">
        <v>0</v>
      </c>
      <c r="X46" s="671">
        <v>10</v>
      </c>
      <c r="Y46" s="671" t="s">
        <v>112</v>
      </c>
      <c r="Z46" s="673" t="s">
        <v>112</v>
      </c>
    </row>
    <row r="47" spans="1:26" s="625" customFormat="1" ht="25.5">
      <c r="A47" s="624"/>
      <c r="B47" s="851">
        <v>12035</v>
      </c>
      <c r="C47" s="851">
        <v>2860</v>
      </c>
      <c r="D47" s="672" t="s">
        <v>910</v>
      </c>
      <c r="E47" s="671" t="s">
        <v>911</v>
      </c>
      <c r="F47" s="671" t="s">
        <v>912</v>
      </c>
      <c r="G47" s="671" t="s">
        <v>847</v>
      </c>
      <c r="H47" s="671" t="s">
        <v>853</v>
      </c>
      <c r="I47" s="671" t="s">
        <v>911</v>
      </c>
      <c r="J47" s="850">
        <v>40480</v>
      </c>
      <c r="K47" s="850">
        <v>40480</v>
      </c>
      <c r="L47" s="671" t="s">
        <v>849</v>
      </c>
      <c r="M47" s="671">
        <v>2014</v>
      </c>
      <c r="N47" s="671">
        <v>9062.9999999999982</v>
      </c>
      <c r="O47" s="671">
        <v>12947.142857142855</v>
      </c>
      <c r="P47" s="671">
        <v>25894.28571428571</v>
      </c>
      <c r="Q47" s="671">
        <v>0</v>
      </c>
      <c r="R47" s="671">
        <v>0</v>
      </c>
      <c r="S47" s="671">
        <v>0</v>
      </c>
      <c r="T47" s="671">
        <v>0</v>
      </c>
      <c r="U47" s="671">
        <v>0</v>
      </c>
      <c r="V47" s="671">
        <v>0</v>
      </c>
      <c r="W47" s="671">
        <v>0</v>
      </c>
      <c r="X47" s="671">
        <v>10</v>
      </c>
      <c r="Y47" s="671" t="s">
        <v>112</v>
      </c>
      <c r="Z47" s="673" t="s">
        <v>112</v>
      </c>
    </row>
    <row r="48" spans="1:26" s="625" customFormat="1" ht="38.25">
      <c r="A48" s="624"/>
      <c r="B48" s="851">
        <v>12035</v>
      </c>
      <c r="C48" s="851">
        <v>2860</v>
      </c>
      <c r="D48" s="672" t="s">
        <v>913</v>
      </c>
      <c r="E48" s="671" t="s">
        <v>914</v>
      </c>
      <c r="F48" s="671" t="s">
        <v>915</v>
      </c>
      <c r="G48" s="671" t="s">
        <v>847</v>
      </c>
      <c r="H48" s="671" t="s">
        <v>853</v>
      </c>
      <c r="I48" s="671" t="s">
        <v>914</v>
      </c>
      <c r="J48" s="850">
        <v>40422</v>
      </c>
      <c r="K48" s="850">
        <v>40664</v>
      </c>
      <c r="L48" s="671" t="s">
        <v>849</v>
      </c>
      <c r="M48" s="671">
        <v>265</v>
      </c>
      <c r="N48" s="671">
        <v>1192.5</v>
      </c>
      <c r="O48" s="671">
        <v>1703.5714285714287</v>
      </c>
      <c r="P48" s="671">
        <v>3407.1428571428573</v>
      </c>
      <c r="Q48" s="671">
        <v>0</v>
      </c>
      <c r="R48" s="671">
        <v>0</v>
      </c>
      <c r="S48" s="671">
        <v>0</v>
      </c>
      <c r="T48" s="671">
        <v>0</v>
      </c>
      <c r="U48" s="671">
        <v>0</v>
      </c>
      <c r="V48" s="671">
        <v>0</v>
      </c>
      <c r="W48" s="671">
        <v>0</v>
      </c>
      <c r="X48" s="671">
        <v>10</v>
      </c>
      <c r="Y48" s="671" t="s">
        <v>112</v>
      </c>
      <c r="Z48" s="673" t="s">
        <v>112</v>
      </c>
    </row>
    <row r="49" spans="1:26" s="625" customFormat="1" ht="25.5">
      <c r="A49" s="624"/>
      <c r="B49" s="851">
        <v>12035</v>
      </c>
      <c r="C49" s="851">
        <v>2860</v>
      </c>
      <c r="D49" s="672" t="s">
        <v>916</v>
      </c>
      <c r="E49" s="671" t="s">
        <v>917</v>
      </c>
      <c r="F49" s="671" t="s">
        <v>918</v>
      </c>
      <c r="G49" s="671" t="s">
        <v>847</v>
      </c>
      <c r="H49" s="671" t="s">
        <v>853</v>
      </c>
      <c r="I49" s="671" t="s">
        <v>917</v>
      </c>
      <c r="J49" s="850">
        <v>40784</v>
      </c>
      <c r="K49" s="850">
        <v>40784</v>
      </c>
      <c r="L49" s="671" t="s">
        <v>849</v>
      </c>
      <c r="M49" s="671">
        <v>1160</v>
      </c>
      <c r="N49" s="671">
        <v>5220</v>
      </c>
      <c r="O49" s="671">
        <v>7457.1428571428569</v>
      </c>
      <c r="P49" s="671">
        <v>14914.285714285716</v>
      </c>
      <c r="Q49" s="671">
        <v>0</v>
      </c>
      <c r="R49" s="671">
        <v>0</v>
      </c>
      <c r="S49" s="671">
        <v>0</v>
      </c>
      <c r="T49" s="671">
        <v>0</v>
      </c>
      <c r="U49" s="671">
        <v>0</v>
      </c>
      <c r="V49" s="671">
        <v>0</v>
      </c>
      <c r="W49" s="671">
        <v>0</v>
      </c>
      <c r="X49" s="671">
        <v>10</v>
      </c>
      <c r="Y49" s="671" t="s">
        <v>112</v>
      </c>
      <c r="Z49" s="673" t="s">
        <v>112</v>
      </c>
    </row>
    <row r="50" spans="1:26" s="625" customFormat="1" ht="25.5">
      <c r="A50" s="626"/>
      <c r="B50" s="851">
        <v>12035</v>
      </c>
      <c r="C50" s="851">
        <v>2861</v>
      </c>
      <c r="D50" s="672" t="s">
        <v>919</v>
      </c>
      <c r="E50" s="671" t="s">
        <v>920</v>
      </c>
      <c r="F50" s="671" t="s">
        <v>921</v>
      </c>
      <c r="G50" s="671" t="s">
        <v>847</v>
      </c>
      <c r="H50" s="671" t="s">
        <v>853</v>
      </c>
      <c r="I50" s="671" t="s">
        <v>920</v>
      </c>
      <c r="J50" s="850">
        <v>40858</v>
      </c>
      <c r="K50" s="850">
        <v>41000</v>
      </c>
      <c r="L50" s="671" t="s">
        <v>849</v>
      </c>
      <c r="M50" s="671">
        <v>9</v>
      </c>
      <c r="N50" s="671">
        <v>40.5</v>
      </c>
      <c r="O50" s="671">
        <v>57.857142857142861</v>
      </c>
      <c r="P50" s="671">
        <v>0</v>
      </c>
      <c r="Q50" s="671">
        <v>0</v>
      </c>
      <c r="R50" s="671">
        <v>0</v>
      </c>
      <c r="S50" s="671">
        <v>0</v>
      </c>
      <c r="T50" s="671">
        <v>0</v>
      </c>
      <c r="U50" s="671">
        <v>0</v>
      </c>
      <c r="V50" s="671">
        <v>115.71428571428572</v>
      </c>
      <c r="W50" s="671">
        <v>0</v>
      </c>
      <c r="X50" s="671">
        <v>10</v>
      </c>
      <c r="Y50" s="671" t="s">
        <v>112</v>
      </c>
      <c r="Z50" s="673" t="s">
        <v>112</v>
      </c>
    </row>
    <row r="51" spans="1:26" s="625" customFormat="1" ht="25.5">
      <c r="A51" s="626"/>
      <c r="B51" s="851">
        <v>12035</v>
      </c>
      <c r="C51" s="851">
        <v>2861</v>
      </c>
      <c r="D51" s="671" t="s">
        <v>922</v>
      </c>
      <c r="E51" s="671" t="s">
        <v>923</v>
      </c>
      <c r="F51" s="671" t="s">
        <v>924</v>
      </c>
      <c r="G51" s="671" t="s">
        <v>847</v>
      </c>
      <c r="H51" s="671" t="s">
        <v>853</v>
      </c>
      <c r="I51" s="671" t="s">
        <v>923</v>
      </c>
      <c r="J51" s="850">
        <v>41031</v>
      </c>
      <c r="K51" s="850">
        <v>41031</v>
      </c>
      <c r="L51" s="671" t="s">
        <v>849</v>
      </c>
      <c r="M51" s="671">
        <v>1200</v>
      </c>
      <c r="N51" s="671">
        <v>5400</v>
      </c>
      <c r="O51" s="671">
        <v>7714.2857142857147</v>
      </c>
      <c r="P51" s="671">
        <v>15428.571428571429</v>
      </c>
      <c r="Q51" s="671">
        <v>0</v>
      </c>
      <c r="R51" s="671">
        <v>0</v>
      </c>
      <c r="S51" s="671">
        <v>0</v>
      </c>
      <c r="T51" s="671">
        <v>0</v>
      </c>
      <c r="U51" s="671">
        <v>0</v>
      </c>
      <c r="V51" s="671">
        <v>0</v>
      </c>
      <c r="W51" s="671">
        <v>0</v>
      </c>
      <c r="X51" s="671">
        <v>1300</v>
      </c>
      <c r="Y51" s="671" t="s">
        <v>54</v>
      </c>
      <c r="Z51" s="673" t="s">
        <v>156</v>
      </c>
    </row>
    <row r="52" spans="1:26" s="625" customFormat="1" ht="25.5">
      <c r="A52" s="626"/>
      <c r="B52" s="851">
        <v>12035</v>
      </c>
      <c r="C52" s="851">
        <v>2861</v>
      </c>
      <c r="D52" s="671" t="s">
        <v>925</v>
      </c>
      <c r="E52" s="671" t="s">
        <v>894</v>
      </c>
      <c r="F52" s="671" t="s">
        <v>926</v>
      </c>
      <c r="G52" s="671" t="s">
        <v>847</v>
      </c>
      <c r="H52" s="671" t="s">
        <v>853</v>
      </c>
      <c r="I52" s="671" t="s">
        <v>894</v>
      </c>
      <c r="J52" s="850">
        <v>41033</v>
      </c>
      <c r="K52" s="850">
        <v>41033</v>
      </c>
      <c r="L52" s="671" t="s">
        <v>849</v>
      </c>
      <c r="M52" s="671">
        <v>800</v>
      </c>
      <c r="N52" s="671">
        <v>3600</v>
      </c>
      <c r="O52" s="671">
        <v>5142.8571428571431</v>
      </c>
      <c r="P52" s="671">
        <v>10285.714285714286</v>
      </c>
      <c r="Q52" s="671">
        <v>0</v>
      </c>
      <c r="R52" s="671">
        <v>0</v>
      </c>
      <c r="S52" s="671">
        <v>0</v>
      </c>
      <c r="T52" s="671">
        <v>0</v>
      </c>
      <c r="U52" s="671">
        <v>0</v>
      </c>
      <c r="V52" s="671">
        <v>0</v>
      </c>
      <c r="W52" s="671">
        <v>0</v>
      </c>
      <c r="X52" s="671">
        <v>10</v>
      </c>
      <c r="Y52" s="671" t="s">
        <v>112</v>
      </c>
      <c r="Z52" s="673" t="s">
        <v>112</v>
      </c>
    </row>
    <row r="53" spans="1:26" s="625" customFormat="1" ht="25.5">
      <c r="A53" s="626"/>
      <c r="B53" s="851">
        <v>12035</v>
      </c>
      <c r="C53" s="851">
        <v>2860</v>
      </c>
      <c r="D53" s="671" t="s">
        <v>927</v>
      </c>
      <c r="E53" s="671" t="s">
        <v>928</v>
      </c>
      <c r="F53" s="671" t="s">
        <v>929</v>
      </c>
      <c r="G53" s="671" t="s">
        <v>847</v>
      </c>
      <c r="H53" s="671" t="s">
        <v>853</v>
      </c>
      <c r="I53" s="671" t="s">
        <v>930</v>
      </c>
      <c r="J53" s="850">
        <v>42118</v>
      </c>
      <c r="K53" s="850">
        <v>42118</v>
      </c>
      <c r="L53" s="671" t="s">
        <v>849</v>
      </c>
      <c r="M53" s="671">
        <v>4000</v>
      </c>
      <c r="N53" s="671">
        <v>12000</v>
      </c>
      <c r="O53" s="671">
        <v>17142.857142857145</v>
      </c>
      <c r="P53" s="671">
        <v>34285.71428571429</v>
      </c>
      <c r="Q53" s="671">
        <v>0</v>
      </c>
      <c r="R53" s="671">
        <v>0</v>
      </c>
      <c r="S53" s="671">
        <v>0</v>
      </c>
      <c r="T53" s="671">
        <v>0</v>
      </c>
      <c r="U53" s="671">
        <v>0</v>
      </c>
      <c r="V53" s="671">
        <v>0</v>
      </c>
      <c r="W53" s="671">
        <v>0</v>
      </c>
      <c r="X53" s="671">
        <v>10</v>
      </c>
      <c r="Y53" s="671" t="s">
        <v>112</v>
      </c>
      <c r="Z53" s="673" t="s">
        <v>112</v>
      </c>
    </row>
    <row r="54" spans="1:26" s="625" customFormat="1" ht="38.25">
      <c r="A54" s="626"/>
      <c r="B54" s="851">
        <v>12035</v>
      </c>
      <c r="C54" s="851">
        <v>2860</v>
      </c>
      <c r="D54" s="671" t="s">
        <v>931</v>
      </c>
      <c r="E54" s="671" t="s">
        <v>932</v>
      </c>
      <c r="F54" s="671" t="s">
        <v>933</v>
      </c>
      <c r="G54" s="671" t="s">
        <v>847</v>
      </c>
      <c r="H54" s="671" t="s">
        <v>853</v>
      </c>
      <c r="I54" s="671" t="s">
        <v>932</v>
      </c>
      <c r="J54" s="850">
        <v>42101</v>
      </c>
      <c r="K54" s="850">
        <v>42073</v>
      </c>
      <c r="L54" s="671" t="s">
        <v>849</v>
      </c>
      <c r="M54" s="671">
        <v>70</v>
      </c>
      <c r="N54" s="671">
        <v>236.25000000000003</v>
      </c>
      <c r="O54" s="671">
        <v>337.50000000000006</v>
      </c>
      <c r="P54" s="671">
        <v>675.00000000000011</v>
      </c>
      <c r="Q54" s="671">
        <v>0</v>
      </c>
      <c r="R54" s="671">
        <v>0</v>
      </c>
      <c r="S54" s="671">
        <v>0</v>
      </c>
      <c r="T54" s="671">
        <v>0</v>
      </c>
      <c r="U54" s="671">
        <v>0</v>
      </c>
      <c r="V54" s="671">
        <v>0</v>
      </c>
      <c r="W54" s="671">
        <v>0</v>
      </c>
      <c r="X54" s="671">
        <v>1500</v>
      </c>
      <c r="Y54" s="671" t="s">
        <v>51</v>
      </c>
      <c r="Z54" s="673" t="s">
        <v>156</v>
      </c>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39317</v>
      </c>
      <c r="N57" s="629">
        <f>SUM(N27:N56)</f>
        <v>170847.75</v>
      </c>
      <c r="O57" s="629">
        <f t="shared" ref="O57:W57" si="2">SUM(O27:O56)</f>
        <v>238429.07142857136</v>
      </c>
      <c r="P57" s="629">
        <f t="shared" si="2"/>
        <v>434946.42857142852</v>
      </c>
      <c r="Q57" s="629">
        <f t="shared" si="2"/>
        <v>0</v>
      </c>
      <c r="R57" s="629">
        <f t="shared" si="2"/>
        <v>0</v>
      </c>
      <c r="S57" s="629">
        <f t="shared" si="2"/>
        <v>11610</v>
      </c>
      <c r="T57" s="629">
        <f t="shared" si="2"/>
        <v>34830</v>
      </c>
      <c r="U57" s="629">
        <f t="shared" si="2"/>
        <v>0</v>
      </c>
      <c r="V57" s="629">
        <f t="shared" si="2"/>
        <v>115.71428571428572</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1270</v>
      </c>
      <c r="N59" s="629">
        <f ca="1">SUMIF($Z$27:AB56,"tertiair",N27:N56)</f>
        <v>5636.25</v>
      </c>
      <c r="O59" s="629">
        <f ca="1">SUMIF($Z$27:AC56,"tertiair",O27:O56)</f>
        <v>8051.7857142857147</v>
      </c>
      <c r="P59" s="629">
        <f ca="1">SUMIF($Z$27:AD56,"tertiair",P27:P56)</f>
        <v>16103.571428571429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38047</v>
      </c>
      <c r="N60" s="634">
        <f t="shared" ref="N60:W60" si="4">SUMIF($Z$27:$Z$56,"landbouw",N27:N56)</f>
        <v>165211.5</v>
      </c>
      <c r="O60" s="634">
        <f t="shared" si="4"/>
        <v>230377.28571428562</v>
      </c>
      <c r="P60" s="634">
        <f t="shared" si="4"/>
        <v>418842.85714285716</v>
      </c>
      <c r="Q60" s="634">
        <f t="shared" si="4"/>
        <v>0</v>
      </c>
      <c r="R60" s="634">
        <f t="shared" si="4"/>
        <v>0</v>
      </c>
      <c r="S60" s="634">
        <f t="shared" si="4"/>
        <v>11610</v>
      </c>
      <c r="T60" s="634">
        <f t="shared" si="4"/>
        <v>34830</v>
      </c>
      <c r="U60" s="634">
        <f t="shared" si="4"/>
        <v>0</v>
      </c>
      <c r="V60" s="634">
        <f t="shared" si="4"/>
        <v>115.71428571428572</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0.58256187241764668</v>
      </c>
      <c r="C97" s="654">
        <f>IF(ISERROR(N57/(O57+N57)),0,N57/(N57+O57))</f>
        <v>0.41743812758235332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181563.22274148892</v>
      </c>
      <c r="C100" s="663">
        <f t="shared" si="9"/>
        <v>0</v>
      </c>
      <c r="D100" s="663">
        <f t="shared" si="9"/>
        <v>0</v>
      </c>
      <c r="E100" s="663">
        <f t="shared" si="9"/>
        <v>4846.4566612311219</v>
      </c>
      <c r="F100" s="663">
        <f t="shared" si="9"/>
        <v>14539.369983693367</v>
      </c>
      <c r="G100" s="663">
        <f t="shared" si="9"/>
        <v>0</v>
      </c>
      <c r="H100" s="663">
        <f t="shared" si="9"/>
        <v>48.303554763100891</v>
      </c>
      <c r="I100" s="664">
        <f t="shared" si="9"/>
        <v>0</v>
      </c>
      <c r="J100" s="621"/>
      <c r="K100" s="621"/>
      <c r="L100" s="659"/>
      <c r="M100" s="646"/>
      <c r="N100" s="646"/>
    </row>
    <row r="101" spans="1:14" ht="15.75" thickBot="1">
      <c r="A101" s="665" t="s">
        <v>286</v>
      </c>
      <c r="B101" s="666">
        <f>$B$97*P57</f>
        <v>253383.2058299396</v>
      </c>
      <c r="C101" s="666">
        <f t="shared" ref="C101:H101" si="10">$B$97*Q57</f>
        <v>0</v>
      </c>
      <c r="D101" s="666">
        <f t="shared" si="10"/>
        <v>0</v>
      </c>
      <c r="E101" s="666">
        <f t="shared" si="10"/>
        <v>6763.5433387688781</v>
      </c>
      <c r="F101" s="666">
        <f t="shared" si="10"/>
        <v>20290.630016306633</v>
      </c>
      <c r="G101" s="666">
        <f t="shared" si="10"/>
        <v>0</v>
      </c>
      <c r="H101" s="666">
        <f t="shared" si="10"/>
        <v>67.410730951184831</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61719.750817414926</v>
      </c>
      <c r="D10" s="718">
        <f ca="1">tertiair!C16</f>
        <v>8051.7857142857147</v>
      </c>
      <c r="E10" s="718">
        <f ca="1">tertiair!D16</f>
        <v>37442.784287369876</v>
      </c>
      <c r="F10" s="718">
        <f>tertiair!E16</f>
        <v>1343.9880623704023</v>
      </c>
      <c r="G10" s="718">
        <f ca="1">tertiair!F16</f>
        <v>9909.4014649342353</v>
      </c>
      <c r="H10" s="718">
        <f>tertiair!G16</f>
        <v>0</v>
      </c>
      <c r="I10" s="718">
        <f>tertiair!H16</f>
        <v>0</v>
      </c>
      <c r="J10" s="718">
        <f>tertiair!I16</f>
        <v>0</v>
      </c>
      <c r="K10" s="718">
        <f>tertiair!J16</f>
        <v>5.6048081272756248E-2</v>
      </c>
      <c r="L10" s="718">
        <f>tertiair!K16</f>
        <v>0</v>
      </c>
      <c r="M10" s="718">
        <f ca="1">tertiair!L16</f>
        <v>0</v>
      </c>
      <c r="N10" s="718">
        <f>tertiair!M16</f>
        <v>0</v>
      </c>
      <c r="O10" s="718">
        <f ca="1">tertiair!N16</f>
        <v>2299.5193427842851</v>
      </c>
      <c r="P10" s="718">
        <f>tertiair!O16</f>
        <v>6.2533333333333339</v>
      </c>
      <c r="Q10" s="719">
        <f>tertiair!P16</f>
        <v>95.333333333333343</v>
      </c>
      <c r="R10" s="721">
        <f ca="1">SUM(C10:Q10)</f>
        <v>120868.87240390737</v>
      </c>
      <c r="S10" s="67"/>
    </row>
    <row r="11" spans="1:19" s="474" customFormat="1">
      <c r="A11" s="870" t="s">
        <v>225</v>
      </c>
      <c r="B11" s="875"/>
      <c r="C11" s="718">
        <f>huishoudens!B8</f>
        <v>34838.937376174144</v>
      </c>
      <c r="D11" s="718">
        <f>huishoudens!C8</f>
        <v>0</v>
      </c>
      <c r="E11" s="718">
        <f>huishoudens!D8</f>
        <v>83955.737690191294</v>
      </c>
      <c r="F11" s="718">
        <f>huishoudens!E8</f>
        <v>3652.8893513823191</v>
      </c>
      <c r="G11" s="718">
        <f>huishoudens!F8</f>
        <v>29561.834515921702</v>
      </c>
      <c r="H11" s="718">
        <f>huishoudens!G8</f>
        <v>0</v>
      </c>
      <c r="I11" s="718">
        <f>huishoudens!H8</f>
        <v>0</v>
      </c>
      <c r="J11" s="718">
        <f>huishoudens!I8</f>
        <v>0</v>
      </c>
      <c r="K11" s="718">
        <f>huishoudens!J8</f>
        <v>0</v>
      </c>
      <c r="L11" s="718">
        <f>huishoudens!K8</f>
        <v>0</v>
      </c>
      <c r="M11" s="718">
        <f>huishoudens!L8</f>
        <v>0</v>
      </c>
      <c r="N11" s="718">
        <f>huishoudens!M8</f>
        <v>0</v>
      </c>
      <c r="O11" s="718">
        <f>huishoudens!N8</f>
        <v>10457.032829461998</v>
      </c>
      <c r="P11" s="718">
        <f>huishoudens!O8</f>
        <v>398.65000000000003</v>
      </c>
      <c r="Q11" s="719">
        <f>huishoudens!P8</f>
        <v>1773.2</v>
      </c>
      <c r="R11" s="721">
        <f>SUM(C11:Q11)</f>
        <v>164638.28176313147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5376.3912585812268</v>
      </c>
      <c r="D13" s="718">
        <f>industrie!C18</f>
        <v>0</v>
      </c>
      <c r="E13" s="718">
        <f>industrie!D18</f>
        <v>7562.9158040974798</v>
      </c>
      <c r="F13" s="718">
        <f>industrie!E18</f>
        <v>610.94366338958764</v>
      </c>
      <c r="G13" s="718">
        <f>industrie!F18</f>
        <v>1879.6871814836848</v>
      </c>
      <c r="H13" s="718">
        <f>industrie!G18</f>
        <v>0</v>
      </c>
      <c r="I13" s="718">
        <f>industrie!H18</f>
        <v>0</v>
      </c>
      <c r="J13" s="718">
        <f>industrie!I18</f>
        <v>0</v>
      </c>
      <c r="K13" s="718">
        <f>industrie!J18</f>
        <v>8.7081730741859804</v>
      </c>
      <c r="L13" s="718">
        <f>industrie!K18</f>
        <v>0</v>
      </c>
      <c r="M13" s="718">
        <f>industrie!L18</f>
        <v>0</v>
      </c>
      <c r="N13" s="718">
        <f>industrie!M18</f>
        <v>0</v>
      </c>
      <c r="O13" s="718">
        <f>industrie!N18</f>
        <v>1116.0209104529706</v>
      </c>
      <c r="P13" s="718">
        <f>industrie!O18</f>
        <v>0</v>
      </c>
      <c r="Q13" s="719">
        <f>industrie!P18</f>
        <v>0</v>
      </c>
      <c r="R13" s="721">
        <f>SUM(C13:Q13)</f>
        <v>16554.666991079135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101935.07945217029</v>
      </c>
      <c r="D15" s="723">
        <f t="shared" ref="D15:Q15" ca="1" si="0">SUM(D9:D14)</f>
        <v>8051.7857142857147</v>
      </c>
      <c r="E15" s="723">
        <f t="shared" ca="1" si="0"/>
        <v>128961.43778165866</v>
      </c>
      <c r="F15" s="723">
        <f t="shared" si="0"/>
        <v>5607.8210771423092</v>
      </c>
      <c r="G15" s="723">
        <f t="shared" ca="1" si="0"/>
        <v>41350.923162339626</v>
      </c>
      <c r="H15" s="723">
        <f t="shared" si="0"/>
        <v>0</v>
      </c>
      <c r="I15" s="723">
        <f t="shared" si="0"/>
        <v>0</v>
      </c>
      <c r="J15" s="723">
        <f t="shared" si="0"/>
        <v>0</v>
      </c>
      <c r="K15" s="723">
        <f t="shared" si="0"/>
        <v>8.7642211554587366</v>
      </c>
      <c r="L15" s="723">
        <f t="shared" si="0"/>
        <v>0</v>
      </c>
      <c r="M15" s="723">
        <f t="shared" ca="1" si="0"/>
        <v>0</v>
      </c>
      <c r="N15" s="723">
        <f t="shared" si="0"/>
        <v>0</v>
      </c>
      <c r="O15" s="723">
        <f t="shared" ca="1" si="0"/>
        <v>13872.573082699255</v>
      </c>
      <c r="P15" s="723">
        <f t="shared" si="0"/>
        <v>404.90333333333336</v>
      </c>
      <c r="Q15" s="724">
        <f t="shared" si="0"/>
        <v>1868.5333333333333</v>
      </c>
      <c r="R15" s="725">
        <f ca="1">SUM(R9:R14)</f>
        <v>302061.82115811796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2332.2311713601375</v>
      </c>
      <c r="I18" s="718">
        <f>transport!H54</f>
        <v>0</v>
      </c>
      <c r="J18" s="718">
        <f>transport!I54</f>
        <v>0</v>
      </c>
      <c r="K18" s="718">
        <f>transport!J54</f>
        <v>0</v>
      </c>
      <c r="L18" s="718">
        <f>transport!K54</f>
        <v>0</v>
      </c>
      <c r="M18" s="718">
        <f>transport!L54</f>
        <v>0</v>
      </c>
      <c r="N18" s="718">
        <f>transport!M54</f>
        <v>132.46043472060339</v>
      </c>
      <c r="O18" s="718">
        <f>transport!N54</f>
        <v>0</v>
      </c>
      <c r="P18" s="718">
        <f>transport!O54</f>
        <v>0</v>
      </c>
      <c r="Q18" s="719">
        <f>transport!P54</f>
        <v>0</v>
      </c>
      <c r="R18" s="721">
        <f>SUM(C18:Q18)</f>
        <v>2464.6916060807407</v>
      </c>
      <c r="S18" s="67"/>
    </row>
    <row r="19" spans="1:19" s="474" customFormat="1" ht="15" thickBot="1">
      <c r="A19" s="870" t="s">
        <v>307</v>
      </c>
      <c r="B19" s="875"/>
      <c r="C19" s="727">
        <f>transport!B14</f>
        <v>35.916235061949052</v>
      </c>
      <c r="D19" s="727">
        <f>transport!C14</f>
        <v>0</v>
      </c>
      <c r="E19" s="727">
        <f>transport!D14</f>
        <v>123.72840264833007</v>
      </c>
      <c r="F19" s="727">
        <f>transport!E14</f>
        <v>165.33981620170277</v>
      </c>
      <c r="G19" s="727">
        <f>transport!F14</f>
        <v>0</v>
      </c>
      <c r="H19" s="727">
        <f>transport!G14</f>
        <v>59348.56509316132</v>
      </c>
      <c r="I19" s="727">
        <f>transport!H14</f>
        <v>13958.152952100783</v>
      </c>
      <c r="J19" s="727">
        <f>transport!I14</f>
        <v>0</v>
      </c>
      <c r="K19" s="727">
        <f>transport!J14</f>
        <v>0</v>
      </c>
      <c r="L19" s="727">
        <f>transport!K14</f>
        <v>0</v>
      </c>
      <c r="M19" s="727">
        <f>transport!L14</f>
        <v>0</v>
      </c>
      <c r="N19" s="727">
        <f>transport!M14</f>
        <v>3881.7376064332202</v>
      </c>
      <c r="O19" s="727">
        <f>transport!N14</f>
        <v>0</v>
      </c>
      <c r="P19" s="727">
        <f>transport!O14</f>
        <v>0</v>
      </c>
      <c r="Q19" s="728">
        <f>transport!P14</f>
        <v>0</v>
      </c>
      <c r="R19" s="729">
        <f>SUM(C19:Q19)</f>
        <v>77513.440105607297</v>
      </c>
      <c r="S19" s="67"/>
    </row>
    <row r="20" spans="1:19" s="474" customFormat="1" ht="15.75" thickBot="1">
      <c r="A20" s="730" t="s">
        <v>230</v>
      </c>
      <c r="B20" s="878"/>
      <c r="C20" s="873">
        <f>SUM(C17:C19)</f>
        <v>35.916235061949052</v>
      </c>
      <c r="D20" s="731">
        <f t="shared" ref="D20:R20" si="1">SUM(D17:D19)</f>
        <v>0</v>
      </c>
      <c r="E20" s="731">
        <f t="shared" si="1"/>
        <v>123.72840264833007</v>
      </c>
      <c r="F20" s="731">
        <f t="shared" si="1"/>
        <v>165.33981620170277</v>
      </c>
      <c r="G20" s="731">
        <f t="shared" si="1"/>
        <v>0</v>
      </c>
      <c r="H20" s="731">
        <f t="shared" si="1"/>
        <v>61680.796264521457</v>
      </c>
      <c r="I20" s="731">
        <f t="shared" si="1"/>
        <v>13958.152952100783</v>
      </c>
      <c r="J20" s="731">
        <f t="shared" si="1"/>
        <v>0</v>
      </c>
      <c r="K20" s="731">
        <f t="shared" si="1"/>
        <v>0</v>
      </c>
      <c r="L20" s="731">
        <f t="shared" si="1"/>
        <v>0</v>
      </c>
      <c r="M20" s="731">
        <f t="shared" si="1"/>
        <v>0</v>
      </c>
      <c r="N20" s="731">
        <f t="shared" si="1"/>
        <v>4014.1980411538234</v>
      </c>
      <c r="O20" s="731">
        <f t="shared" si="1"/>
        <v>0</v>
      </c>
      <c r="P20" s="731">
        <f t="shared" si="1"/>
        <v>0</v>
      </c>
      <c r="Q20" s="732">
        <f t="shared" si="1"/>
        <v>0</v>
      </c>
      <c r="R20" s="733">
        <f t="shared" si="1"/>
        <v>79978.131711688038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6829.9926072374901</v>
      </c>
      <c r="D22" s="727">
        <f>+landbouw!C8</f>
        <v>230377.28571428562</v>
      </c>
      <c r="E22" s="727">
        <f>+landbouw!D8</f>
        <v>51045.629647043184</v>
      </c>
      <c r="F22" s="727">
        <f>+landbouw!E8</f>
        <v>200.75434393196386</v>
      </c>
      <c r="G22" s="727">
        <f>+landbouw!F8</f>
        <v>16843.380128322686</v>
      </c>
      <c r="H22" s="727">
        <f>+landbouw!G8</f>
        <v>0</v>
      </c>
      <c r="I22" s="727">
        <f>+landbouw!H8</f>
        <v>0</v>
      </c>
      <c r="J22" s="727">
        <f>+landbouw!I8</f>
        <v>0</v>
      </c>
      <c r="K22" s="727">
        <f>+landbouw!J8</f>
        <v>989.51925301849076</v>
      </c>
      <c r="L22" s="727">
        <f>+landbouw!K8</f>
        <v>0</v>
      </c>
      <c r="M22" s="727">
        <f>+landbouw!L8</f>
        <v>0</v>
      </c>
      <c r="N22" s="727">
        <f>+landbouw!M8</f>
        <v>0</v>
      </c>
      <c r="O22" s="727">
        <f>+landbouw!N8</f>
        <v>0</v>
      </c>
      <c r="P22" s="727">
        <f>+landbouw!O8</f>
        <v>0</v>
      </c>
      <c r="Q22" s="728">
        <f>+landbouw!P8</f>
        <v>0</v>
      </c>
      <c r="R22" s="729">
        <f>SUM(C22:Q22)</f>
        <v>306286.56169383944</v>
      </c>
      <c r="S22" s="67"/>
    </row>
    <row r="23" spans="1:19" s="474" customFormat="1" ht="17.25" thickTop="1" thickBot="1">
      <c r="A23" s="734" t="s">
        <v>116</v>
      </c>
      <c r="B23" s="864"/>
      <c r="C23" s="735">
        <f ca="1">C20+C15+C22</f>
        <v>108800.98829446973</v>
      </c>
      <c r="D23" s="735">
        <f t="shared" ref="D23:Q23" ca="1" si="2">D20+D15+D22</f>
        <v>238429.07142857133</v>
      </c>
      <c r="E23" s="735">
        <f t="shared" ca="1" si="2"/>
        <v>180130.79583135017</v>
      </c>
      <c r="F23" s="735">
        <f t="shared" si="2"/>
        <v>5973.9152372759763</v>
      </c>
      <c r="G23" s="735">
        <f t="shared" ca="1" si="2"/>
        <v>58194.303290662312</v>
      </c>
      <c r="H23" s="735">
        <f t="shared" si="2"/>
        <v>61680.796264521457</v>
      </c>
      <c r="I23" s="735">
        <f t="shared" si="2"/>
        <v>13958.152952100783</v>
      </c>
      <c r="J23" s="735">
        <f t="shared" si="2"/>
        <v>0</v>
      </c>
      <c r="K23" s="735">
        <f t="shared" si="2"/>
        <v>998.28347417394946</v>
      </c>
      <c r="L23" s="735">
        <f t="shared" si="2"/>
        <v>0</v>
      </c>
      <c r="M23" s="735">
        <f t="shared" ca="1" si="2"/>
        <v>0</v>
      </c>
      <c r="N23" s="735">
        <f t="shared" si="2"/>
        <v>4014.1980411538234</v>
      </c>
      <c r="O23" s="735">
        <f t="shared" ca="1" si="2"/>
        <v>13872.573082699255</v>
      </c>
      <c r="P23" s="735">
        <f t="shared" si="2"/>
        <v>404.90333333333336</v>
      </c>
      <c r="Q23" s="736">
        <f t="shared" si="2"/>
        <v>1868.5333333333333</v>
      </c>
      <c r="R23" s="737">
        <f ca="1">R20+R15+R22</f>
        <v>688326.51456364547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12962.259856992232</v>
      </c>
      <c r="D36" s="718">
        <f ca="1">tertiair!C20</f>
        <v>1789.4557656993222</v>
      </c>
      <c r="E36" s="718">
        <f ca="1">tertiair!D20</f>
        <v>7563.4424260487158</v>
      </c>
      <c r="F36" s="718">
        <f>tertiair!E20</f>
        <v>305.08529015808131</v>
      </c>
      <c r="G36" s="718">
        <f ca="1">tertiair!F20</f>
        <v>2645.8101911374411</v>
      </c>
      <c r="H36" s="718">
        <f>tertiair!G20</f>
        <v>0</v>
      </c>
      <c r="I36" s="718">
        <f>tertiair!H20</f>
        <v>0</v>
      </c>
      <c r="J36" s="718">
        <f>tertiair!I20</f>
        <v>0</v>
      </c>
      <c r="K36" s="718">
        <f>tertiair!J20</f>
        <v>1.984102077055571E-2</v>
      </c>
      <c r="L36" s="718">
        <f>tertiair!K20</f>
        <v>0</v>
      </c>
      <c r="M36" s="718">
        <f ca="1">tertiair!L20</f>
        <v>0</v>
      </c>
      <c r="N36" s="718">
        <f>tertiair!M20</f>
        <v>0</v>
      </c>
      <c r="O36" s="718">
        <f ca="1">tertiair!N20</f>
        <v>0</v>
      </c>
      <c r="P36" s="718">
        <f>tertiair!O20</f>
        <v>0</v>
      </c>
      <c r="Q36" s="828">
        <f>tertiair!P20</f>
        <v>0</v>
      </c>
      <c r="R36" s="917">
        <f ca="1">SUM(C36:Q36)</f>
        <v>25266.073371056558</v>
      </c>
    </row>
    <row r="37" spans="1:18">
      <c r="A37" s="885" t="s">
        <v>225</v>
      </c>
      <c r="B37" s="892"/>
      <c r="C37" s="718">
        <f ca="1">huishoudens!B12</f>
        <v>7316.8046440658463</v>
      </c>
      <c r="D37" s="718">
        <f ca="1">huishoudens!C12</f>
        <v>0</v>
      </c>
      <c r="E37" s="718">
        <f>huishoudens!D12</f>
        <v>16959.059013418642</v>
      </c>
      <c r="F37" s="718">
        <f>huishoudens!E12</f>
        <v>829.20588276378646</v>
      </c>
      <c r="G37" s="718">
        <f>huishoudens!F12</f>
        <v>7893.0098157510947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32998.079355999369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1129.1390464740423</v>
      </c>
      <c r="D39" s="718">
        <f ca="1">industrie!C22</f>
        <v>0</v>
      </c>
      <c r="E39" s="718">
        <f>industrie!D22</f>
        <v>1527.7089924276911</v>
      </c>
      <c r="F39" s="718">
        <f>industrie!E22</f>
        <v>138.68421158943639</v>
      </c>
      <c r="G39" s="718">
        <f>industrie!F22</f>
        <v>501.87647745614385</v>
      </c>
      <c r="H39" s="718">
        <f>industrie!G22</f>
        <v>0</v>
      </c>
      <c r="I39" s="718">
        <f>industrie!H22</f>
        <v>0</v>
      </c>
      <c r="J39" s="718">
        <f>industrie!I22</f>
        <v>0</v>
      </c>
      <c r="K39" s="718">
        <f>industrie!J22</f>
        <v>3.0826932682618371</v>
      </c>
      <c r="L39" s="718">
        <f>industrie!K22</f>
        <v>0</v>
      </c>
      <c r="M39" s="718">
        <f>industrie!L22</f>
        <v>0</v>
      </c>
      <c r="N39" s="718">
        <f>industrie!M22</f>
        <v>0</v>
      </c>
      <c r="O39" s="718">
        <f>industrie!N22</f>
        <v>0</v>
      </c>
      <c r="P39" s="718">
        <f>industrie!O22</f>
        <v>0</v>
      </c>
      <c r="Q39" s="828">
        <f>industrie!P22</f>
        <v>0</v>
      </c>
      <c r="R39" s="918">
        <f ca="1">SUM(C39:Q39)</f>
        <v>3300.491421215575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21408.203547532121</v>
      </c>
      <c r="D41" s="763">
        <f t="shared" ref="D41:R41" ca="1" si="4">SUM(D35:D40)</f>
        <v>1789.4557656993222</v>
      </c>
      <c r="E41" s="763">
        <f t="shared" ca="1" si="4"/>
        <v>26050.210431895048</v>
      </c>
      <c r="F41" s="763">
        <f t="shared" si="4"/>
        <v>1272.9753845113041</v>
      </c>
      <c r="G41" s="763">
        <f t="shared" ca="1" si="4"/>
        <v>11040.69648434468</v>
      </c>
      <c r="H41" s="763">
        <f t="shared" si="4"/>
        <v>0</v>
      </c>
      <c r="I41" s="763">
        <f t="shared" si="4"/>
        <v>0</v>
      </c>
      <c r="J41" s="763">
        <f t="shared" si="4"/>
        <v>0</v>
      </c>
      <c r="K41" s="763">
        <f t="shared" si="4"/>
        <v>3.1025342890323926</v>
      </c>
      <c r="L41" s="763">
        <f t="shared" si="4"/>
        <v>0</v>
      </c>
      <c r="M41" s="763">
        <f t="shared" ca="1" si="4"/>
        <v>0</v>
      </c>
      <c r="N41" s="763">
        <f t="shared" si="4"/>
        <v>0</v>
      </c>
      <c r="O41" s="763">
        <f t="shared" ca="1" si="4"/>
        <v>0</v>
      </c>
      <c r="P41" s="763">
        <f t="shared" si="4"/>
        <v>0</v>
      </c>
      <c r="Q41" s="764">
        <f t="shared" si="4"/>
        <v>0</v>
      </c>
      <c r="R41" s="765">
        <f t="shared" ca="1" si="4"/>
        <v>61564.644148271509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622.70572275315681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622.70572275315681</v>
      </c>
    </row>
    <row r="45" spans="1:18" ht="15" thickBot="1">
      <c r="A45" s="888" t="s">
        <v>307</v>
      </c>
      <c r="B45" s="898"/>
      <c r="C45" s="727">
        <f ca="1">transport!B18</f>
        <v>7.5430565709030262</v>
      </c>
      <c r="D45" s="727">
        <f>transport!C18</f>
        <v>0</v>
      </c>
      <c r="E45" s="727">
        <f>transport!D18</f>
        <v>24.993137334962675</v>
      </c>
      <c r="F45" s="727">
        <f>transport!E18</f>
        <v>37.53213827778653</v>
      </c>
      <c r="G45" s="727">
        <f>transport!F18</f>
        <v>0</v>
      </c>
      <c r="H45" s="727">
        <f>transport!G18</f>
        <v>15846.066879874073</v>
      </c>
      <c r="I45" s="727">
        <f>transport!H18</f>
        <v>3475.5800850730952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19391.715297130821</v>
      </c>
    </row>
    <row r="46" spans="1:18" ht="15.75" thickBot="1">
      <c r="A46" s="886" t="s">
        <v>230</v>
      </c>
      <c r="B46" s="899"/>
      <c r="C46" s="763">
        <f t="shared" ref="C46:R46" ca="1" si="5">SUM(C43:C45)</f>
        <v>7.5430565709030262</v>
      </c>
      <c r="D46" s="763">
        <f t="shared" ca="1" si="5"/>
        <v>0</v>
      </c>
      <c r="E46" s="763">
        <f t="shared" si="5"/>
        <v>24.993137334962675</v>
      </c>
      <c r="F46" s="763">
        <f t="shared" si="5"/>
        <v>37.53213827778653</v>
      </c>
      <c r="G46" s="763">
        <f t="shared" si="5"/>
        <v>0</v>
      </c>
      <c r="H46" s="763">
        <f t="shared" si="5"/>
        <v>16468.772602627228</v>
      </c>
      <c r="I46" s="763">
        <f t="shared" si="5"/>
        <v>3475.5800850730952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20014.421019883979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1434.4215234804201</v>
      </c>
      <c r="D48" s="718">
        <f ca="1">+landbouw!C12</f>
        <v>51199.817883399766</v>
      </c>
      <c r="E48" s="718">
        <f>+landbouw!D12</f>
        <v>10311.217188702723</v>
      </c>
      <c r="F48" s="718">
        <f>+landbouw!E12</f>
        <v>45.571236072555799</v>
      </c>
      <c r="G48" s="718">
        <f>+landbouw!F12</f>
        <v>4497.182494262157</v>
      </c>
      <c r="H48" s="718">
        <f>+landbouw!G12</f>
        <v>0</v>
      </c>
      <c r="I48" s="718">
        <f>+landbouw!H12</f>
        <v>0</v>
      </c>
      <c r="J48" s="718">
        <f>+landbouw!I12</f>
        <v>0</v>
      </c>
      <c r="K48" s="718">
        <f>+landbouw!J12</f>
        <v>350.28981556854569</v>
      </c>
      <c r="L48" s="718">
        <f>+landbouw!K12</f>
        <v>0</v>
      </c>
      <c r="M48" s="718">
        <f>+landbouw!L12</f>
        <v>0</v>
      </c>
      <c r="N48" s="718">
        <f>+landbouw!M12</f>
        <v>0</v>
      </c>
      <c r="O48" s="718">
        <f>+landbouw!N12</f>
        <v>0</v>
      </c>
      <c r="P48" s="718">
        <f>+landbouw!O12</f>
        <v>0</v>
      </c>
      <c r="Q48" s="719">
        <f>+landbouw!P12</f>
        <v>0</v>
      </c>
      <c r="R48" s="761">
        <f ca="1">SUM(C48:Q48)</f>
        <v>67838.500141486162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22850.168127583445</v>
      </c>
      <c r="D53" s="773">
        <f t="shared" ref="D53:Q53" ca="1" si="6">D41+D46+D48</f>
        <v>52989.273649099086</v>
      </c>
      <c r="E53" s="773">
        <f t="shared" ca="1" si="6"/>
        <v>36386.420757932734</v>
      </c>
      <c r="F53" s="773">
        <f t="shared" si="6"/>
        <v>1356.0787588616465</v>
      </c>
      <c r="G53" s="773">
        <f t="shared" ca="1" si="6"/>
        <v>15537.878978606837</v>
      </c>
      <c r="H53" s="773">
        <f t="shared" si="6"/>
        <v>16468.772602627228</v>
      </c>
      <c r="I53" s="773">
        <f t="shared" si="6"/>
        <v>3475.5800850730952</v>
      </c>
      <c r="J53" s="773">
        <f t="shared" si="6"/>
        <v>0</v>
      </c>
      <c r="K53" s="773">
        <f t="shared" si="6"/>
        <v>353.3923498575781</v>
      </c>
      <c r="L53" s="773">
        <f t="shared" si="6"/>
        <v>0</v>
      </c>
      <c r="M53" s="773">
        <f t="shared" ca="1" si="6"/>
        <v>0</v>
      </c>
      <c r="N53" s="773">
        <f t="shared" si="6"/>
        <v>0</v>
      </c>
      <c r="O53" s="773">
        <f t="shared" ca="1" si="6"/>
        <v>0</v>
      </c>
      <c r="P53" s="773">
        <f>P41+P46+P48</f>
        <v>0</v>
      </c>
      <c r="Q53" s="774">
        <f t="shared" si="6"/>
        <v>0</v>
      </c>
      <c r="R53" s="775">
        <f ca="1">R41+R46+R48</f>
        <v>149417.56530964165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0.21001801992588059</v>
      </c>
      <c r="D55" s="836">
        <f t="shared" ca="1" si="7"/>
        <v>0.22224334193648709</v>
      </c>
      <c r="E55" s="836">
        <f t="shared" ca="1" si="7"/>
        <v>0.20199999999999999</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9945.1883189582877</v>
      </c>
      <c r="C66" s="795">
        <f>'lokale energieproductie'!B6</f>
        <v>9945.1883189582877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170847.75</v>
      </c>
      <c r="C67" s="794">
        <f>B67*IFERROR(SUM(J67:L67)/SUM(D67:M67),0)</f>
        <v>12399.522507687994</v>
      </c>
      <c r="D67" s="826">
        <f>'lokale energieproductie'!C7</f>
        <v>181563.22274148892</v>
      </c>
      <c r="E67" s="827">
        <f>'lokale energieproductie'!D7</f>
        <v>0</v>
      </c>
      <c r="F67" s="827">
        <f>'lokale energieproductie'!E7</f>
        <v>4846.4566612311219</v>
      </c>
      <c r="G67" s="827">
        <f>'lokale energieproductie'!F7</f>
        <v>0</v>
      </c>
      <c r="H67" s="827">
        <f>'lokale energieproductie'!G7</f>
        <v>0</v>
      </c>
      <c r="I67" s="827">
        <f>'lokale energieproductie'!H7</f>
        <v>0</v>
      </c>
      <c r="J67" s="827">
        <f>'lokale energieproductie'!I7</f>
        <v>14539.369983693367</v>
      </c>
      <c r="K67" s="827">
        <f>'lokale energieproductie'!J7</f>
        <v>48.303554763100891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37969.774922329474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180792.93831895827</v>
      </c>
      <c r="C69" s="803">
        <f>SUM(C64:C68)</f>
        <v>22344.710826646282</v>
      </c>
      <c r="D69" s="804">
        <f t="shared" ref="D69:M69" si="8">SUM(D67:D68)</f>
        <v>181563.22274148892</v>
      </c>
      <c r="E69" s="804">
        <f t="shared" si="8"/>
        <v>0</v>
      </c>
      <c r="F69" s="804">
        <f t="shared" si="8"/>
        <v>4846.4566612311219</v>
      </c>
      <c r="G69" s="804">
        <f t="shared" si="8"/>
        <v>0</v>
      </c>
      <c r="H69" s="804">
        <f t="shared" si="8"/>
        <v>0</v>
      </c>
      <c r="I69" s="804">
        <f t="shared" si="8"/>
        <v>0</v>
      </c>
      <c r="J69" s="804">
        <f t="shared" si="8"/>
        <v>14539.369983693367</v>
      </c>
      <c r="K69" s="804">
        <f t="shared" si="8"/>
        <v>48.303554763100891</v>
      </c>
      <c r="L69" s="804">
        <f t="shared" si="8"/>
        <v>0</v>
      </c>
      <c r="M69" s="930">
        <f t="shared" si="8"/>
        <v>0</v>
      </c>
      <c r="N69" s="805">
        <v>0</v>
      </c>
      <c r="O69" s="805">
        <f>SUM(O67:O68)</f>
        <v>37969.774922329474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238429.07142857136</v>
      </c>
      <c r="C78" s="817">
        <f>B78*IFERROR(SUM(I78:L78)/SUM(D78:M78),0)</f>
        <v>17304.334635169147</v>
      </c>
      <c r="D78" s="832">
        <f>'lokale energieproductie'!C16</f>
        <v>253383.2058299396</v>
      </c>
      <c r="E78" s="832">
        <f>'lokale energieproductie'!D16</f>
        <v>0</v>
      </c>
      <c r="F78" s="832">
        <f>'lokale energieproductie'!E16</f>
        <v>6763.5433387688781</v>
      </c>
      <c r="G78" s="832">
        <f>'lokale energieproductie'!F16</f>
        <v>0</v>
      </c>
      <c r="H78" s="832">
        <f>'lokale energieproductie'!G16</f>
        <v>0</v>
      </c>
      <c r="I78" s="832">
        <f>'lokale energieproductie'!H16</f>
        <v>0</v>
      </c>
      <c r="J78" s="832">
        <f>'lokale energieproductie'!I16</f>
        <v>20290.630016306633</v>
      </c>
      <c r="K78" s="832">
        <f>'lokale energieproductie'!J16</f>
        <v>67.410730951184831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52989.273649099094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238429.07142857136</v>
      </c>
      <c r="C81" s="803">
        <f>SUM(C78:C80)</f>
        <v>17304.334635169147</v>
      </c>
      <c r="D81" s="803">
        <f t="shared" ref="D81:P81" si="9">SUM(D78:D80)</f>
        <v>253383.2058299396</v>
      </c>
      <c r="E81" s="803">
        <f t="shared" si="9"/>
        <v>0</v>
      </c>
      <c r="F81" s="803">
        <f t="shared" si="9"/>
        <v>6763.5433387688781</v>
      </c>
      <c r="G81" s="803">
        <f t="shared" si="9"/>
        <v>0</v>
      </c>
      <c r="H81" s="803">
        <f t="shared" si="9"/>
        <v>0</v>
      </c>
      <c r="I81" s="803">
        <f t="shared" si="9"/>
        <v>0</v>
      </c>
      <c r="J81" s="803">
        <f t="shared" si="9"/>
        <v>20290.630016306633</v>
      </c>
      <c r="K81" s="803">
        <f t="shared" si="9"/>
        <v>67.410730951184831</v>
      </c>
      <c r="L81" s="803">
        <f t="shared" si="9"/>
        <v>0</v>
      </c>
      <c r="M81" s="803">
        <f t="shared" si="9"/>
        <v>0</v>
      </c>
      <c r="N81" s="803">
        <v>0</v>
      </c>
      <c r="O81" s="803">
        <f>SUM(O78:O80)</f>
        <v>52989.273649099094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34838.937376174144</v>
      </c>
      <c r="C4" s="478">
        <f>huishoudens!C8</f>
        <v>0</v>
      </c>
      <c r="D4" s="478">
        <f>huishoudens!D8</f>
        <v>83955.737690191294</v>
      </c>
      <c r="E4" s="478">
        <f>huishoudens!E8</f>
        <v>3652.8893513823191</v>
      </c>
      <c r="F4" s="478">
        <f>huishoudens!F8</f>
        <v>29561.834515921702</v>
      </c>
      <c r="G4" s="478">
        <f>huishoudens!G8</f>
        <v>0</v>
      </c>
      <c r="H4" s="478">
        <f>huishoudens!H8</f>
        <v>0</v>
      </c>
      <c r="I4" s="478">
        <f>huishoudens!I8</f>
        <v>0</v>
      </c>
      <c r="J4" s="478">
        <f>huishoudens!J8</f>
        <v>0</v>
      </c>
      <c r="K4" s="478">
        <f>huishoudens!K8</f>
        <v>0</v>
      </c>
      <c r="L4" s="478">
        <f>huishoudens!L8</f>
        <v>0</v>
      </c>
      <c r="M4" s="478">
        <f>huishoudens!M8</f>
        <v>0</v>
      </c>
      <c r="N4" s="478">
        <f>huishoudens!N8</f>
        <v>10457.032829461998</v>
      </c>
      <c r="O4" s="478">
        <f>huishoudens!O8</f>
        <v>398.65000000000003</v>
      </c>
      <c r="P4" s="479">
        <f>huishoudens!P8</f>
        <v>1773.2</v>
      </c>
      <c r="Q4" s="480">
        <f>SUM(B4:P4)</f>
        <v>164638.28176313147</v>
      </c>
    </row>
    <row r="5" spans="1:17">
      <c r="A5" s="477" t="s">
        <v>156</v>
      </c>
      <c r="B5" s="478">
        <f ca="1">tertiair!B16</f>
        <v>60305.226817414929</v>
      </c>
      <c r="C5" s="478">
        <f ca="1">tertiair!C16</f>
        <v>8051.7857142857147</v>
      </c>
      <c r="D5" s="478">
        <f ca="1">tertiair!D16</f>
        <v>37442.784287369876</v>
      </c>
      <c r="E5" s="478">
        <f>tertiair!E16</f>
        <v>1343.9880623704023</v>
      </c>
      <c r="F5" s="478">
        <f ca="1">tertiair!F16</f>
        <v>9909.4014649342353</v>
      </c>
      <c r="G5" s="478">
        <f>tertiair!G16</f>
        <v>0</v>
      </c>
      <c r="H5" s="478">
        <f>tertiair!H16</f>
        <v>0</v>
      </c>
      <c r="I5" s="478">
        <f>tertiair!I16</f>
        <v>0</v>
      </c>
      <c r="J5" s="478">
        <f>tertiair!J16</f>
        <v>5.6048081272756248E-2</v>
      </c>
      <c r="K5" s="478">
        <f>tertiair!K16</f>
        <v>0</v>
      </c>
      <c r="L5" s="478">
        <f ca="1">tertiair!L16</f>
        <v>0</v>
      </c>
      <c r="M5" s="478">
        <f>tertiair!M16</f>
        <v>0</v>
      </c>
      <c r="N5" s="478">
        <f ca="1">tertiair!N16</f>
        <v>2299.5193427842851</v>
      </c>
      <c r="O5" s="478">
        <f>tertiair!O16</f>
        <v>6.2533333333333339</v>
      </c>
      <c r="P5" s="479">
        <f>tertiair!P16</f>
        <v>95.333333333333343</v>
      </c>
      <c r="Q5" s="477">
        <f t="shared" ref="Q5:Q13" ca="1" si="0">SUM(B5:P5)</f>
        <v>119454.3484039074</v>
      </c>
    </row>
    <row r="6" spans="1:17">
      <c r="A6" s="477" t="s">
        <v>194</v>
      </c>
      <c r="B6" s="478">
        <f>'openbare verlichting'!B8</f>
        <v>1414.5239999999999</v>
      </c>
      <c r="C6" s="478"/>
      <c r="D6" s="478"/>
      <c r="E6" s="478"/>
      <c r="F6" s="478"/>
      <c r="G6" s="478"/>
      <c r="H6" s="478"/>
      <c r="I6" s="478"/>
      <c r="J6" s="478"/>
      <c r="K6" s="478"/>
      <c r="L6" s="478"/>
      <c r="M6" s="478"/>
      <c r="N6" s="478"/>
      <c r="O6" s="478"/>
      <c r="P6" s="479"/>
      <c r="Q6" s="477">
        <f t="shared" si="0"/>
        <v>1414.5239999999999</v>
      </c>
    </row>
    <row r="7" spans="1:17">
      <c r="A7" s="477" t="s">
        <v>112</v>
      </c>
      <c r="B7" s="478">
        <f>landbouw!B8</f>
        <v>6829.9926072374901</v>
      </c>
      <c r="C7" s="478">
        <f>landbouw!C8</f>
        <v>230377.28571428562</v>
      </c>
      <c r="D7" s="478">
        <f>landbouw!D8</f>
        <v>51045.629647043184</v>
      </c>
      <c r="E7" s="478">
        <f>landbouw!E8</f>
        <v>200.75434393196386</v>
      </c>
      <c r="F7" s="478">
        <f>landbouw!F8</f>
        <v>16843.380128322686</v>
      </c>
      <c r="G7" s="478">
        <f>landbouw!G8</f>
        <v>0</v>
      </c>
      <c r="H7" s="478">
        <f>landbouw!H8</f>
        <v>0</v>
      </c>
      <c r="I7" s="478">
        <f>landbouw!I8</f>
        <v>0</v>
      </c>
      <c r="J7" s="478">
        <f>landbouw!J8</f>
        <v>989.51925301849076</v>
      </c>
      <c r="K7" s="478">
        <f>landbouw!K8</f>
        <v>0</v>
      </c>
      <c r="L7" s="478">
        <f>landbouw!L8</f>
        <v>0</v>
      </c>
      <c r="M7" s="478">
        <f>landbouw!M8</f>
        <v>0</v>
      </c>
      <c r="N7" s="478">
        <f>landbouw!N8</f>
        <v>0</v>
      </c>
      <c r="O7" s="478">
        <f>landbouw!O8</f>
        <v>0</v>
      </c>
      <c r="P7" s="479">
        <f>landbouw!P8</f>
        <v>0</v>
      </c>
      <c r="Q7" s="477">
        <f t="shared" si="0"/>
        <v>306286.56169383944</v>
      </c>
    </row>
    <row r="8" spans="1:17">
      <c r="A8" s="477" t="s">
        <v>635</v>
      </c>
      <c r="B8" s="478">
        <f>industrie!B18</f>
        <v>5376.3912585812268</v>
      </c>
      <c r="C8" s="478">
        <f>industrie!C18</f>
        <v>0</v>
      </c>
      <c r="D8" s="478">
        <f>industrie!D18</f>
        <v>7562.9158040974798</v>
      </c>
      <c r="E8" s="478">
        <f>industrie!E18</f>
        <v>610.94366338958764</v>
      </c>
      <c r="F8" s="478">
        <f>industrie!F18</f>
        <v>1879.6871814836848</v>
      </c>
      <c r="G8" s="478">
        <f>industrie!G18</f>
        <v>0</v>
      </c>
      <c r="H8" s="478">
        <f>industrie!H18</f>
        <v>0</v>
      </c>
      <c r="I8" s="478">
        <f>industrie!I18</f>
        <v>0</v>
      </c>
      <c r="J8" s="478">
        <f>industrie!J18</f>
        <v>8.7081730741859804</v>
      </c>
      <c r="K8" s="478">
        <f>industrie!K18</f>
        <v>0</v>
      </c>
      <c r="L8" s="478">
        <f>industrie!L18</f>
        <v>0</v>
      </c>
      <c r="M8" s="478">
        <f>industrie!M18</f>
        <v>0</v>
      </c>
      <c r="N8" s="478">
        <f>industrie!N18</f>
        <v>1116.0209104529706</v>
      </c>
      <c r="O8" s="478">
        <f>industrie!O18</f>
        <v>0</v>
      </c>
      <c r="P8" s="479">
        <f>industrie!P18</f>
        <v>0</v>
      </c>
      <c r="Q8" s="477">
        <f t="shared" si="0"/>
        <v>16554.666991079135</v>
      </c>
    </row>
    <row r="9" spans="1:17" s="483" customFormat="1">
      <c r="A9" s="481" t="s">
        <v>561</v>
      </c>
      <c r="B9" s="482">
        <f>transport!B14</f>
        <v>35.916235061949052</v>
      </c>
      <c r="C9" s="482"/>
      <c r="D9" s="482">
        <f>transport!D14</f>
        <v>123.72840264833007</v>
      </c>
      <c r="E9" s="482">
        <f>transport!E14</f>
        <v>165.33981620170277</v>
      </c>
      <c r="F9" s="482"/>
      <c r="G9" s="482">
        <f>transport!G14</f>
        <v>59348.56509316132</v>
      </c>
      <c r="H9" s="482">
        <f>transport!H14</f>
        <v>13958.152952100783</v>
      </c>
      <c r="I9" s="482"/>
      <c r="J9" s="482"/>
      <c r="K9" s="482"/>
      <c r="L9" s="482"/>
      <c r="M9" s="482">
        <f>transport!M14</f>
        <v>3881.7376064332202</v>
      </c>
      <c r="N9" s="482"/>
      <c r="O9" s="482"/>
      <c r="P9" s="482"/>
      <c r="Q9" s="481">
        <f>SUM(B9:P9)</f>
        <v>77513.440105607297</v>
      </c>
    </row>
    <row r="10" spans="1:17">
      <c r="A10" s="477" t="s">
        <v>551</v>
      </c>
      <c r="B10" s="478">
        <f>transport!B54</f>
        <v>0</v>
      </c>
      <c r="C10" s="478"/>
      <c r="D10" s="478">
        <f>transport!D54</f>
        <v>0</v>
      </c>
      <c r="E10" s="478"/>
      <c r="F10" s="478"/>
      <c r="G10" s="478">
        <f>transport!G54</f>
        <v>2332.2311713601375</v>
      </c>
      <c r="H10" s="478"/>
      <c r="I10" s="478"/>
      <c r="J10" s="478"/>
      <c r="K10" s="478"/>
      <c r="L10" s="478"/>
      <c r="M10" s="478">
        <f>transport!M54</f>
        <v>132.46043472060339</v>
      </c>
      <c r="N10" s="478"/>
      <c r="O10" s="478"/>
      <c r="P10" s="479"/>
      <c r="Q10" s="477">
        <f t="shared" si="0"/>
        <v>2464.6916060807407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108800.98829446973</v>
      </c>
      <c r="C14" s="488">
        <f t="shared" ref="C14:Q14" ca="1" si="1">SUM(C4:C13)</f>
        <v>238429.07142857133</v>
      </c>
      <c r="D14" s="488">
        <f t="shared" ca="1" si="1"/>
        <v>180130.79583135017</v>
      </c>
      <c r="E14" s="488">
        <f t="shared" si="1"/>
        <v>5973.9152372759763</v>
      </c>
      <c r="F14" s="488">
        <f t="shared" ca="1" si="1"/>
        <v>58194.303290662312</v>
      </c>
      <c r="G14" s="488">
        <f t="shared" si="1"/>
        <v>61680.796264521457</v>
      </c>
      <c r="H14" s="488">
        <f t="shared" si="1"/>
        <v>13958.152952100783</v>
      </c>
      <c r="I14" s="488">
        <f t="shared" si="1"/>
        <v>0</v>
      </c>
      <c r="J14" s="488">
        <f t="shared" si="1"/>
        <v>998.28347417394946</v>
      </c>
      <c r="K14" s="488">
        <f t="shared" si="1"/>
        <v>0</v>
      </c>
      <c r="L14" s="488">
        <f t="shared" ca="1" si="1"/>
        <v>0</v>
      </c>
      <c r="M14" s="488">
        <f t="shared" si="1"/>
        <v>4014.1980411538234</v>
      </c>
      <c r="N14" s="488">
        <f t="shared" ca="1" si="1"/>
        <v>13872.573082699255</v>
      </c>
      <c r="O14" s="488">
        <f t="shared" si="1"/>
        <v>404.90333333333336</v>
      </c>
      <c r="P14" s="489">
        <f t="shared" si="1"/>
        <v>1868.5333333333333</v>
      </c>
      <c r="Q14" s="489">
        <f t="shared" ca="1" si="1"/>
        <v>688326.51456364547</v>
      </c>
    </row>
    <row r="16" spans="1:17">
      <c r="A16" s="491" t="s">
        <v>556</v>
      </c>
      <c r="B16" s="841">
        <f ca="1">huishoudens!B10</f>
        <v>0.21001801992588057</v>
      </c>
      <c r="C16" s="841">
        <f ca="1">huishoudens!C10</f>
        <v>0.22224334193648712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7316.8046440658463</v>
      </c>
      <c r="C21" s="478">
        <f t="shared" ref="C21:C28" ca="1" si="3">C4*$C$16</f>
        <v>0</v>
      </c>
      <c r="D21" s="478">
        <f t="shared" ref="D21:D30" si="4">D4*$D$16</f>
        <v>16959.059013418642</v>
      </c>
      <c r="E21" s="478">
        <f t="shared" ref="E21:E30" si="5">E4*$E$16</f>
        <v>829.20588276378646</v>
      </c>
      <c r="F21" s="478">
        <f t="shared" ref="F21:F28" si="6">F4*$F$16</f>
        <v>7893.0098157510947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32998.079355999369</v>
      </c>
    </row>
    <row r="22" spans="1:17">
      <c r="A22" s="477" t="s">
        <v>156</v>
      </c>
      <c r="B22" s="478">
        <f t="shared" ca="1" si="2"/>
        <v>12665.184327374596</v>
      </c>
      <c r="C22" s="478">
        <f t="shared" ca="1" si="3"/>
        <v>1789.4557656993222</v>
      </c>
      <c r="D22" s="478">
        <f t="shared" ca="1" si="4"/>
        <v>7563.4424260487158</v>
      </c>
      <c r="E22" s="478">
        <f t="shared" si="5"/>
        <v>305.08529015808131</v>
      </c>
      <c r="F22" s="478">
        <f t="shared" ca="1" si="6"/>
        <v>2645.8101911374411</v>
      </c>
      <c r="G22" s="478">
        <f t="shared" si="7"/>
        <v>0</v>
      </c>
      <c r="H22" s="478">
        <f t="shared" si="8"/>
        <v>0</v>
      </c>
      <c r="I22" s="478">
        <f t="shared" si="9"/>
        <v>0</v>
      </c>
      <c r="J22" s="478">
        <f t="shared" si="10"/>
        <v>1.984102077055571E-2</v>
      </c>
      <c r="K22" s="478">
        <f t="shared" si="11"/>
        <v>0</v>
      </c>
      <c r="L22" s="478">
        <f t="shared" ca="1" si="12"/>
        <v>0</v>
      </c>
      <c r="M22" s="478">
        <f t="shared" si="13"/>
        <v>0</v>
      </c>
      <c r="N22" s="478">
        <f t="shared" ca="1" si="14"/>
        <v>0</v>
      </c>
      <c r="O22" s="478">
        <f t="shared" si="15"/>
        <v>0</v>
      </c>
      <c r="P22" s="479">
        <f t="shared" si="16"/>
        <v>0</v>
      </c>
      <c r="Q22" s="477">
        <f t="shared" ref="Q22:Q30" ca="1" si="17">SUM(B22:P22)</f>
        <v>24968.997841438922</v>
      </c>
    </row>
    <row r="23" spans="1:17">
      <c r="A23" s="477" t="s">
        <v>194</v>
      </c>
      <c r="B23" s="478">
        <f t="shared" ca="1" si="2"/>
        <v>297.07552961763628</v>
      </c>
      <c r="C23" s="478"/>
      <c r="D23" s="478"/>
      <c r="E23" s="478"/>
      <c r="F23" s="478"/>
      <c r="G23" s="478"/>
      <c r="H23" s="478"/>
      <c r="I23" s="478"/>
      <c r="J23" s="478"/>
      <c r="K23" s="478"/>
      <c r="L23" s="478"/>
      <c r="M23" s="478"/>
      <c r="N23" s="478"/>
      <c r="O23" s="478"/>
      <c r="P23" s="479"/>
      <c r="Q23" s="477">
        <f t="shared" ca="1" si="17"/>
        <v>297.07552961763628</v>
      </c>
    </row>
    <row r="24" spans="1:17">
      <c r="A24" s="477" t="s">
        <v>112</v>
      </c>
      <c r="B24" s="478">
        <f t="shared" ca="1" si="2"/>
        <v>1434.4215234804201</v>
      </c>
      <c r="C24" s="478">
        <f t="shared" ca="1" si="3"/>
        <v>51199.817883399766</v>
      </c>
      <c r="D24" s="478">
        <f t="shared" si="4"/>
        <v>10311.217188702723</v>
      </c>
      <c r="E24" s="478">
        <f t="shared" si="5"/>
        <v>45.571236072555799</v>
      </c>
      <c r="F24" s="478">
        <f t="shared" si="6"/>
        <v>4497.182494262157</v>
      </c>
      <c r="G24" s="478">
        <f t="shared" si="7"/>
        <v>0</v>
      </c>
      <c r="H24" s="478">
        <f t="shared" si="8"/>
        <v>0</v>
      </c>
      <c r="I24" s="478">
        <f t="shared" si="9"/>
        <v>0</v>
      </c>
      <c r="J24" s="478">
        <f t="shared" si="10"/>
        <v>350.28981556854569</v>
      </c>
      <c r="K24" s="478">
        <f t="shared" si="11"/>
        <v>0</v>
      </c>
      <c r="L24" s="478">
        <f t="shared" si="12"/>
        <v>0</v>
      </c>
      <c r="M24" s="478">
        <f t="shared" si="13"/>
        <v>0</v>
      </c>
      <c r="N24" s="478">
        <f t="shared" si="14"/>
        <v>0</v>
      </c>
      <c r="O24" s="478">
        <f t="shared" si="15"/>
        <v>0</v>
      </c>
      <c r="P24" s="479">
        <f t="shared" si="16"/>
        <v>0</v>
      </c>
      <c r="Q24" s="477">
        <f t="shared" ca="1" si="17"/>
        <v>67838.500141486162</v>
      </c>
    </row>
    <row r="25" spans="1:17">
      <c r="A25" s="477" t="s">
        <v>635</v>
      </c>
      <c r="B25" s="478">
        <f t="shared" ca="1" si="2"/>
        <v>1129.1390464740423</v>
      </c>
      <c r="C25" s="478">
        <f t="shared" ca="1" si="3"/>
        <v>0</v>
      </c>
      <c r="D25" s="478">
        <f t="shared" si="4"/>
        <v>1527.7089924276911</v>
      </c>
      <c r="E25" s="478">
        <f t="shared" si="5"/>
        <v>138.68421158943639</v>
      </c>
      <c r="F25" s="478">
        <f t="shared" si="6"/>
        <v>501.87647745614385</v>
      </c>
      <c r="G25" s="478">
        <f t="shared" si="7"/>
        <v>0</v>
      </c>
      <c r="H25" s="478">
        <f t="shared" si="8"/>
        <v>0</v>
      </c>
      <c r="I25" s="478">
        <f t="shared" si="9"/>
        <v>0</v>
      </c>
      <c r="J25" s="478">
        <f t="shared" si="10"/>
        <v>3.0826932682618371</v>
      </c>
      <c r="K25" s="478">
        <f t="shared" si="11"/>
        <v>0</v>
      </c>
      <c r="L25" s="478">
        <f t="shared" si="12"/>
        <v>0</v>
      </c>
      <c r="M25" s="478">
        <f t="shared" si="13"/>
        <v>0</v>
      </c>
      <c r="N25" s="478">
        <f t="shared" si="14"/>
        <v>0</v>
      </c>
      <c r="O25" s="478">
        <f t="shared" si="15"/>
        <v>0</v>
      </c>
      <c r="P25" s="479">
        <f t="shared" si="16"/>
        <v>0</v>
      </c>
      <c r="Q25" s="477">
        <f t="shared" ca="1" si="17"/>
        <v>3300.491421215575</v>
      </c>
    </row>
    <row r="26" spans="1:17" s="483" customFormat="1">
      <c r="A26" s="481" t="s">
        <v>561</v>
      </c>
      <c r="B26" s="835">
        <f t="shared" ca="1" si="2"/>
        <v>7.5430565709030262</v>
      </c>
      <c r="C26" s="482"/>
      <c r="D26" s="482">
        <f t="shared" si="4"/>
        <v>24.993137334962675</v>
      </c>
      <c r="E26" s="482">
        <f t="shared" si="5"/>
        <v>37.53213827778653</v>
      </c>
      <c r="F26" s="482"/>
      <c r="G26" s="482">
        <f t="shared" si="7"/>
        <v>15846.066879874073</v>
      </c>
      <c r="H26" s="482">
        <f t="shared" si="8"/>
        <v>3475.5800850730952</v>
      </c>
      <c r="I26" s="482"/>
      <c r="J26" s="482"/>
      <c r="K26" s="482"/>
      <c r="L26" s="482"/>
      <c r="M26" s="482">
        <f t="shared" si="13"/>
        <v>0</v>
      </c>
      <c r="N26" s="482"/>
      <c r="O26" s="482"/>
      <c r="P26" s="493"/>
      <c r="Q26" s="481">
        <f t="shared" ca="1" si="17"/>
        <v>19391.715297130821</v>
      </c>
    </row>
    <row r="27" spans="1:17">
      <c r="A27" s="477" t="s">
        <v>551</v>
      </c>
      <c r="B27" s="478">
        <f t="shared" ca="1" si="2"/>
        <v>0</v>
      </c>
      <c r="C27" s="478"/>
      <c r="D27" s="482">
        <f t="shared" si="4"/>
        <v>0</v>
      </c>
      <c r="E27" s="478"/>
      <c r="F27" s="478"/>
      <c r="G27" s="478">
        <f t="shared" si="7"/>
        <v>622.70572275315681</v>
      </c>
      <c r="H27" s="478"/>
      <c r="I27" s="478"/>
      <c r="J27" s="478"/>
      <c r="K27" s="478"/>
      <c r="L27" s="478"/>
      <c r="M27" s="478">
        <f t="shared" si="13"/>
        <v>0</v>
      </c>
      <c r="N27" s="478"/>
      <c r="O27" s="478"/>
      <c r="P27" s="479"/>
      <c r="Q27" s="477">
        <f t="shared" ca="1" si="17"/>
        <v>622.70572275315681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22850.168127583445</v>
      </c>
      <c r="C31" s="488">
        <f t="shared" ca="1" si="18"/>
        <v>52989.273649099086</v>
      </c>
      <c r="D31" s="488">
        <f t="shared" ca="1" si="18"/>
        <v>36386.420757932727</v>
      </c>
      <c r="E31" s="488">
        <f t="shared" si="18"/>
        <v>1356.0787588616465</v>
      </c>
      <c r="F31" s="488">
        <f t="shared" ca="1" si="18"/>
        <v>15537.878978606837</v>
      </c>
      <c r="G31" s="488">
        <f t="shared" si="18"/>
        <v>16468.772602627228</v>
      </c>
      <c r="H31" s="488">
        <f t="shared" si="18"/>
        <v>3475.5800850730952</v>
      </c>
      <c r="I31" s="488">
        <f t="shared" si="18"/>
        <v>0</v>
      </c>
      <c r="J31" s="488">
        <f t="shared" si="18"/>
        <v>353.3923498575781</v>
      </c>
      <c r="K31" s="488">
        <f t="shared" si="18"/>
        <v>0</v>
      </c>
      <c r="L31" s="488">
        <f t="shared" ca="1" si="18"/>
        <v>0</v>
      </c>
      <c r="M31" s="488">
        <f t="shared" si="18"/>
        <v>0</v>
      </c>
      <c r="N31" s="488">
        <f t="shared" ca="1" si="18"/>
        <v>0</v>
      </c>
      <c r="O31" s="488">
        <f t="shared" si="18"/>
        <v>0</v>
      </c>
      <c r="P31" s="489">
        <f t="shared" si="18"/>
        <v>0</v>
      </c>
      <c r="Q31" s="489">
        <f t="shared" ca="1" si="18"/>
        <v>149417.56530964165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0.21001801992588057</v>
      </c>
      <c r="C17" s="528">
        <f ca="1">'EF ele_warmte'!B22</f>
        <v>0.22224334193648712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0.21001801992588057</v>
      </c>
      <c r="C17" s="528">
        <f ca="1">'EF ele_warmte'!B22</f>
        <v>0.22224334193648712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0.21001801992588057</v>
      </c>
      <c r="C29" s="529">
        <f ca="1">'EF ele_warmte'!B22</f>
        <v>0.22224334193648712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2019-01-01T21:17:27Z</dcterms:modified>
</cp:coreProperties>
</file>