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H24"/>
  <c r="D21"/>
  <c r="F28"/>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C67" s="1"/>
  <c r="C69"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J69" i="14" l="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<sst xmlns="http://schemas.openxmlformats.org/spreadsheetml/2006/main" count="2099" uniqueCount="844">
  <si>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</si>
  <si>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</si>
  <si>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</si>
  <si>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</si>
  <si>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</si>
  <si>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</si>
  <si>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</si>
  <si>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</si>
  <si>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</si>
  <si>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</si>
  <si>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</si>
  <si>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</si>
  <si>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</si>
  <si>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</si>
  <si>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</si>
  <si>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</si>
  <si>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</si>
  <si>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</si>
  <si>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</si>
  <si>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</si>
  <si>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</si>
  <si>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</si>
  <si>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</si>
  <si>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</si>
  <si>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</si>
  <si>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</si>
  <si>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</si>
  <si>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</si>
  <si>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</si>
  <si>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</si>
  <si>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</si>
  <si>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</si>
  <si>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</si>
  <si>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</si>
  <si>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</si>
  <si>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</si>
  <si>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</si>
  <si>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</si>
  <si>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</si>
  <si>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</si>
  <si>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</si>
  <si>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</si>
  <si>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</si>
  <si>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</si>
  <si>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</si>
  <si>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</si>
  <si>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</si>
  <si>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</si>
  <si>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</si>
  <si>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</si>
  <si>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</si>
  <si>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</si>
  <si>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</si>
  <si>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</si>
  <si>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</si>
  <si>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</si>
  <si>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</si>
  <si>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</si>
  <si>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</si>
  <si>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</si>
  <si>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</si>
  <si>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</si>
  <si>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</si>
  <si>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</si>
  <si>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</si>
  <si>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</si>
  <si>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</si>
  <si>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</si>
  <si>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</si>
  <si>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</si>
  <si>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</si>
  <si>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</si>
  <si>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</si>
  <si>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</si>
  <si>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</si>
  <si>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</si>
  <si>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</si>
  <si>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</si>
  <si>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</si>
  <si>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</si>
  <si>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</si>
  <si>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</si>
  <si>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</si>
  <si>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</si>
  <si>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</si>
  <si>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</si>
  <si>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</si>
  <si>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</si>
  <si>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</si>
  <si>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</si>
  <si>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</si>
  <si>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</si>
  <si>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</si>
  <si>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</si>
  <si>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</si>
  <si>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</si>
  <si>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</si>
  <si>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</si>
  <si>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</si>
  <si>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</si>
  <si>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</si>
  <si>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</si>
  <si>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</si>
  <si>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</si>
  <si>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</si>
  <si>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</si>
  <si>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</si>
  <si>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</si>
  <si>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</si>
  <si>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</si>
  <si>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</si>
  <si>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</si>
  <si>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</si>
  <si>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</si>
  <si>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</si>
  <si>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</si>
  <si>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</si>
  <si>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</si>
  <si>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</si>
  <si>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</si>
  <si>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</si>
  <si>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</si>
  <si>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</si>
  <si>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</si>
  <si>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</si>
  <si>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</si>
  <si>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</si>
  <si>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</si>
  <si>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</si>
  <si>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</si>
  <si>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</si>
  <si>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</si>
  <si>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</si>
  <si>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</si>
  <si>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</si>
  <si>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</si>
  <si>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</si>
  <si>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</si>
  <si>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</si>
  <si>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</si>
  <si>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</si>
  <si>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</si>
  <si>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</si>
  <si>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</si>
  <si>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</si>
  <si>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</si>
  <si>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</si>
  <si>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</si>
  <si>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</si>
  <si>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</si>
  <si>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</si>
  <si>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</si>
  <si>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</si>
  <si>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</si>
  <si>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</si>
  <si>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</si>
  <si>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</si>
  <si>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</si>
  <si>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</si>
  <si>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</si>
  <si>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</si>
  <si>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</si>
  <si>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</si>
  <si>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</si>
  <si>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</si>
  <si>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</si>
  <si>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</si>
  <si>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</si>
  <si>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</si>
  <si>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</si>
  <si>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</si>
  <si>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</si>
  <si>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</si>
  <si>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</si>
  <si>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</si>
  <si>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</si>
  <si>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</si>
  <si>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</si>
  <si>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</si>
  <si>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</si>
  <si>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</si>
  <si>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</si>
  <si>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</si>
  <si>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</si>
  <si>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</si>
  <si>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</si>
  <si>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</si>
  <si>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</si>
  <si>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</si>
  <si>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</si>
  <si>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</si>
  <si>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</si>
  <si>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</si>
  <si>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</si>
  <si>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</si>
  <si>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</si>
  <si>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</si>
  <si>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</si>
  <si>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</si>
  <si>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</si>
  <si>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</si>
  <si>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</si>
  <si>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</si>
  <si>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</si>
  <si>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</si>
  <si>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</si>
  <si>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</si>
  <si>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</si>
  <si>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</si>
  <si>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</si>
  <si>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</si>
  <si>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</si>
  <si>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</si>
  <si>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</si>
  <si>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</si>
  <si>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</si>
  <si>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</si>
  <si>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</si>
  <si>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</si>
  <si>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</si>
  <si>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</si>
  <si>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</si>
  <si>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</si>
  <si>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</si>
  <si>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</si>
  <si>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</si>
  <si>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</si>
  <si>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</si>
  <si>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</si>
  <si>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</si>
  <si>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</si>
  <si>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</si>
  <si>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</si>
  <si>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</si>
  <si>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</si>
  <si>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</si>
  <si>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</si>
  <si>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</si>
  <si>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</si>
  <si>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</si>
  <si>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</si>
  <si>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</si>
  <si>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</si>
  <si>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</si>
  <si>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</si>
  <si>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</si>
  <si>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</si>
  <si>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</si>
  <si>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</si>
  <si>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</si>
  <si>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</si>
  <si>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</si>
  <si>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</si>
  <si>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</si>
  <si>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</si>
  <si>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</si>
  <si>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</si>
  <si>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</si>
  <si>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</si>
  <si>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</si>
  <si>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</si>
  <si>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</si>
  <si>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</si>
  <si>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</si>
  <si>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</si>
  <si>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</si>
  <si>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</si>
  <si>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</si>
  <si>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</si>
  <si>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</si>
  <si>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</si>
  <si>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</si>
  <si>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</si>
  <si>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</si>
  <si>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</si>
  <si>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</si>
  <si>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</si>
  <si>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</si>
  <si>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</si>
  <si>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</si>
  <si>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</si>
  <si>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</si>
  <si>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</si>
  <si>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</si>
  <si>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</si>
  <si>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</si>
  <si>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</si>
  <si>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</si>
  <si>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</si>
  <si>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</si>
  <si>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</si>
  <si>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</si>
  <si>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</si>
  <si>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</si>
  <si>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</si>
  <si>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</si>
  <si>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</si>
  <si>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</si>
  <si>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</si>
  <si>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</si>
  <si>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</si>
  <si>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</si>
  <si>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</si>
  <si>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</si>
  <si>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</si>
  <si>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</si>
  <si>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</si>
  <si>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</si>
  <si>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</si>
  <si>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</si>
  <si>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</si>
  <si>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</si>
  <si>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</si>
  <si>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</si>
  <si>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</si>
  <si>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</si>
  <si>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</si>
  <si>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</si>
  <si>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</si>
  <si>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</si>
  <si>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</si>
  <si>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</si>
  <si>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</si>
  <si>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</si>
  <si>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</si>
  <si>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</si>
  <si>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</si>
  <si>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</si>
  <si>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</si>
  <si>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</si>
  <si>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</si>
  <si>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</si>
  <si>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</si>
  <si>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</si>
  <si>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</si>
  <si>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</si>
  <si>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</si>
  <si>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</si>
  <si>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</si>
  <si>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</si>
  <si>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</si>
  <si>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</si>
  <si>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</si>
  <si>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</si>
  <si>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</si>
  <si>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</si>
  <si>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</si>
  <si>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</si>
  <si>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</si>
  <si>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</si>
  <si>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</si>
  <si>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</si>
  <si>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</si>
  <si>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</si>
  <si>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</si>
  <si>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</si>
  <si>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</si>
  <si>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</si>
  <si>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</si>
  <si>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</si>
  <si>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</si>
  <si>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</si>
  <si>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</si>
  <si>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</si>
  <si>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</si>
  <si>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</si>
  <si>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</si>
  <si>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</si>
  <si>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</si>
  <si>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</si>
  <si>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</si>
  <si>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</si>
  <si>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</si>
  <si>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</si>
  <si>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</si>
  <si>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</si>
  <si>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</si>
  <si>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</si>
  <si>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</si>
  <si>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</si>
  <si>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</si>
  <si>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</si>
  <si>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</si>
  <si>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</si>
  <si>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</si>
  <si>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</si>
  <si>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</si>
  <si>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</si>
  <si>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</si>
  <si>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</si>
  <si>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</si>
  <si>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</si>
  <si>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</si>
  <si>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</si>
  <si>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</si>
  <si>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</si>
  <si>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</si>
  <si>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</si>
  <si>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</si>
  <si>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</si>
  <si>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</si>
  <si>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</si>
  <si>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</si>
  <si>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</si>
  <si>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</si>
  <si>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</si>
  <si>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</si>
  <si>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</si>
  <si>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</si>
  <si>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</si>
  <si>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</si>
  <si>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</si>
  <si>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</si>
  <si>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</si>
  <si>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</si>
  <si>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</si>
  <si>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</si>
  <si>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</si>
  <si>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</si>
  <si>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</si>
  <si>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</si>
  <si>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</si>
  <si>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</si>
  <si>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</si>
  <si>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</si>
  <si>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</si>
  <si>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</si>
  <si>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</si>
  <si>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</si>
  <si>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</si>
  <si>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</si>
  <si>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</si>
  <si>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</si>
  <si>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</si>
  <si>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</si>
  <si>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</si>
  <si>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</si>
  <si>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</si>
  <si>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</si>
  <si>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</si>
  <si>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</si>
  <si>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</si>
  <si>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</si>
  <si>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</si>
  <si>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</si>
  <si>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</si>
  <si>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</si>
  <si>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</si>
  <si>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</si>
  <si>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</si>
  <si>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</si>
  <si>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</si>
  <si>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</si>
  <si>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</si>
  <si>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</si>
  <si>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</si>
  <si>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</si>
  <si>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</si>
  <si>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</si>
  <si>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</si>
  <si>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</si>
  <si>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</si>
  <si>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</si>
  <si>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</si>
  <si>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</si>
  <si>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</si>
  <si>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</si>
  <si>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</si>
  <si>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</si>
  <si>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</si>
  <si>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</si>
  <si>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</si>
  <si>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</si>
  <si>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</si>
  <si>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</si>
  <si>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</si>
  <si>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</si>
  <si>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</si>
  <si>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</si>
  <si>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</si>
  <si>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</si>
  <si>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</si>
  <si>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</si>
  <si>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</si>
  <si>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</si>
  <si>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</si>
  <si>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</si>
  <si>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</si>
  <si>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</si>
  <si>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</si>
  <si>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</si>
  <si>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</si>
  <si>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</si>
  <si>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</si>
  <si>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</si>
  <si>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</si>
  <si>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</si>
  <si>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</si>
  <si>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</si>
  <si>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</si>
  <si>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</si>
  <si>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</si>
  <si>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</si>
  <si>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</si>
  <si>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</si>
  <si>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</si>
  <si>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</si>
  <si>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</si>
  <si>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</si>
  <si>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</si>
  <si>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</si>
  <si>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</si>
  <si>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</si>
  <si>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</si>
  <si>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</si>
  <si>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</si>
  <si>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</si>
  <si>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</si>
  <si>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</si>
  <si>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</si>
  <si>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</si>
  <si>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</si>
  <si>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</si>
  <si>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</si>
  <si>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</si>
  <si>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</si>
  <si>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</si>
  <si>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</si>
  <si>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</si>
  <si>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</si>
  <si>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</si>
  <si>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</si>
  <si>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</si>
  <si>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</si>
  <si>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</si>
  <si>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</si>
  <si>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</si>
  <si>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</si>
  <si>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</si>
  <si>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</si>
  <si>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</si>
  <si>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</si>
  <si>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</si>
  <si>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</si>
  <si>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</si>
  <si>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</si>
  <si>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</si>
  <si>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</si>
  <si>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</si>
  <si>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</si>
  <si>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</si>
  <si>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</si>
  <si>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</si>
  <si>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</si>
  <si>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</si>
  <si>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</si>
  <si>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</si>
  <si>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</si>
  <si>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</si>
  <si>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</si>
  <si>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</si>
  <si>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</si>
  <si>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</si>
  <si>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</si>
  <si>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</si>
  <si>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</si>
  <si>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</si>
  <si>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</si>
  <si>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</si>
  <si>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</si>
  <si>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</si>
  <si>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</si>
  <si>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</si>
  <si>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</si>
  <si>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</si>
  <si>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</si>
  <si>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</si>
  <si>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</si>
  <si>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</si>
  <si>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</si>
  <si>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</si>
  <si>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</si>
  <si>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</si>
  <si>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</si>
  <si>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</si>
  <si>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</si>
  <si>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</si>
  <si>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</si>
  <si>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</si>
  <si>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</si>
  <si>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</si>
  <si>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</si>
  <si>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</si>
  <si>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</si>
  <si>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</si>
  <si>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</si>
  <si>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</si>
  <si>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</si>
  <si>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</si>
  <si>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</si>
  <si>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</si>
  <si>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</si>
  <si>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</si>
  <si>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</si>
  <si>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</si>
  <si>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</si>
  <si>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</si>
  <si>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</si>
  <si>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</si>
  <si>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</si>
  <si>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</si>
  <si>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</si>
  <si>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</si>
  <si>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</si>
  <si>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</si>
  <si>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</si>
  <si>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</si>
  <si>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</si>
  <si>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</si>
  <si>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</si>
  <si>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</si>
  <si>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</si>
  <si>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</si>
  <si>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</si>
  <si>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</si>
  <si>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</si>
  <si>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</si>
  <si>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</si>
  <si>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</si>
  <si>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</si>
  <si>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</si>
  <si>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</si>
  <si>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</si>
  <si>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</si>
  <si>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</si>
  <si>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</si>
  <si>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</si>
  <si>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</si>
  <si>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</si>
  <si>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</si>
  <si>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</si>
  <si>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</si>
  <si>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</si>
  <si>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</si>
  <si>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</si>
  <si>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</si>
  <si>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</si>
  <si>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</si>
  <si>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</si>
  <si>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</si>
  <si>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</si>
  <si>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</si>
  <si>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</si>
  <si>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</si>
  <si>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</si>
  <si>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</si>
  <si>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</si>
  <si>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</si>
  <si>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</si>
  <si>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</si>
  <si>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</si>
  <si>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</si>
  <si>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</si>
  <si>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</si>
  <si>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</si>
  <si>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</si>
  <si>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</si>
  <si>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</si>
  <si>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</si>
  <si>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</si>
  <si>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</si>
  <si>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</si>
  <si>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</si>
  <si>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</si>
  <si>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</si>
  <si>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</si>
  <si>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</si>
  <si>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</si>
  <si>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</si>
  <si>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</si>
  <si>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</si>
  <si>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</si>
  <si>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</si>
  <si>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</si>
  <si>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</si>
  <si>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</si>
  <si>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</si>
  <si>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</si>
  <si>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</si>
  <si>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</si>
  <si>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</si>
  <si>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</si>
  <si>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</si>
  <si>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</si>
  <si>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</si>
  <si>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</si>
  <si>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</si>
  <si>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</si>
  <si>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</si>
  <si>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</si>
  <si>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</si>
  <si>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</si>
  <si>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</si>
  <si>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</si>
  <si>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</si>
  <si>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</si>
  <si>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</si>
  <si>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</si>
  <si>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</si>
  <si>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</si>
  <si>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</si>
  <si>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</si>
  <si>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</si>
  <si>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</si>
  <si>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</si>
  <si>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</si>
  <si>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</si>
  <si>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</si>
  <si>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</si>
  <si>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</si>
  <si>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</si>
  <si>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</si>
  <si>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</si>
  <si>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</si>
  <si>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</si>
  <si>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</si>
  <si>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</si>
  <si>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</si>
  <si>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</si>
  <si>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</si>
  <si>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</si>
  <si>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</si>
  <si>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</si>
  <si>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</si>
  <si>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</si>
  <si>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</si>
  <si>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</si>
  <si>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</si>
  <si>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</si>
  <si>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</si>
  <si>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</si>
  <si>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</si>
  <si>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</si>
  <si>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</si>
  <si>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</si>
  <si>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</si>
  <si>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</si>
  <si>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</si>
  <si>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</si>
  <si>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</si>
  <si>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</si>
  <si>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</si>
  <si>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</si>
  <si>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</si>
  <si>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</si>
  <si>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</si>
  <si>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</si>
  <si>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</si>
  <si>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</si>
  <si>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</si>
  <si>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</si>
  <si>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</si>
  <si>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</si>
  <si>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</si>
  <si>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</si>
  <si>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</si>
  <si>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</si>
  <si>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</si>
  <si>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</si>
  <si>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</si>
  <si>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</si>
  <si>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</si>
  <si>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</si>
  <si>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</si>
  <si>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</si>
  <si>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</si>
  <si>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</si>
  <si>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</si>
  <si>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</si>
  <si>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</si>
  <si>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</si>
  <si>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</si>
  <si>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</si>
  <si>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</si>
  <si>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</si>
  <si>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</si>
  <si>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</si>
  <si>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</si>
  <si>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</si>
  <si>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</si>
  <si>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</si>
  <si>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</si>
  <si>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</si>
  <si>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</si>
  <si>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</si>
  <si>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</si>
  <si>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</si>
  <si>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</si>
  <si>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</si>
  <si>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</si>
  <si>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</si>
  <si>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</si>
  <si>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</si>
  <si>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</si>
  <si>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</si>
  <si>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</si>
  <si>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</si>
  <si>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</si>
  <si>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</si>
  <si>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</si>
  <si>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</si>
  <si>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</si>
  <si>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</si>
  <si>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</si>
  <si>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</si>
  <si>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</si>
  <si>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</si>
  <si>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</si>
  <si>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</si>
  <si>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</si>
  <si>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</si>
  <si>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</si>
  <si>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</si>
  <si>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</si>
  <si>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</si>
  <si>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</si>
  <si>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</si>
  <si>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</si>
  <si>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</si>
  <si>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</si>
  <si>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</si>
  <si>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</si>
  <si>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</si>
  <si>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</si>
  <si>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</si>
  <si>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</si>
  <si>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12014</t>
  </si>
  <si>
    <t>HEIST-OP-DEN-BERG</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</si>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</sst>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374536.78232611797</c:v>
                </c:pt>
                <c:pt idx="1">
                  <c:v>118936.50285439353</c:v>
                </c:pt>
                <c:pt idx="2">
                  <c:v>2824.5070000000001</c:v>
                </c:pt>
                <c:pt idx="3">
                  <c:v>16868.117863347867</c:v>
                </c:pt>
                <c:pt idx="4">
                  <c:v>130002.47407357331</c:v>
                </c:pt>
                <c:pt idx="5">
                  <c:v>193348.85124004743</c:v>
                </c:pt>
                <c:pt idx="6">
                  <c:v>2666.170338496916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374536.78232611797</c:v>
                </c:pt>
                <c:pt idx="1">
                  <c:v>118936.50285439353</c:v>
                </c:pt>
                <c:pt idx="2">
                  <c:v>2824.5070000000001</c:v>
                </c:pt>
                <c:pt idx="3">
                  <c:v>16868.117863347867</c:v>
                </c:pt>
                <c:pt idx="4">
                  <c:v>130002.47407357331</c:v>
                </c:pt>
                <c:pt idx="5">
                  <c:v>193348.85124004743</c:v>
                </c:pt>
                <c:pt idx="6">
                  <c:v>2666.170338496916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73283.453763986923</c:v>
                </c:pt>
                <c:pt idx="1">
                  <c:v>23685.490699290596</c:v>
                </c:pt>
                <c:pt idx="2">
                  <c:v>579.26054033965681</c:v>
                </c:pt>
                <c:pt idx="3">
                  <c:v>3975.1914134852373</c:v>
                </c:pt>
                <c:pt idx="4">
                  <c:v>25726.751020378553</c:v>
                </c:pt>
                <c:pt idx="5">
                  <c:v>48321.073140665365</c:v>
                </c:pt>
                <c:pt idx="6">
                  <c:v>673.60943800056202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73283.453763986923</c:v>
                </c:pt>
                <c:pt idx="1">
                  <c:v>23685.490699290596</c:v>
                </c:pt>
                <c:pt idx="2">
                  <c:v>579.26054033965681</c:v>
                </c:pt>
                <c:pt idx="3">
                  <c:v>3975.1914134852373</c:v>
                </c:pt>
                <c:pt idx="4">
                  <c:v>25726.751020378553</c:v>
                </c:pt>
                <c:pt idx="5">
                  <c:v>48321.073140665365</c:v>
                </c:pt>
                <c:pt idx="6">
                  <c:v>673.60943800056202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12014</v>
      </c>
      <c r="B6" s="415"/>
      <c r="C6" s="416"/>
    </row>
    <row r="7" spans="1:7" s="413" customFormat="1" ht="15.75" customHeight="1">
      <c r="A7" s="417" t="str">
        <f>txtMunicipality</f>
        <v>HEIST-OP-DEN-BERG</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51532.620794941759</v>
      </c>
      <c r="D10" s="718">
        <f ca="1">tertiair!C16</f>
        <v>0</v>
      </c>
      <c r="E10" s="718">
        <f ca="1">tertiair!D16</f>
        <v>55384.386380990618</v>
      </c>
      <c r="F10" s="718">
        <f>tertiair!E16</f>
        <v>804.63741980436555</v>
      </c>
      <c r="G10" s="718">
        <f ca="1">tertiair!F16</f>
        <v>8711.2413126157917</v>
      </c>
      <c r="H10" s="718">
        <f>tertiair!G16</f>
        <v>0</v>
      </c>
      <c r="I10" s="718">
        <f>tertiair!H16</f>
        <v>0</v>
      </c>
      <c r="J10" s="718">
        <f>tertiair!I16</f>
        <v>0</v>
      </c>
      <c r="K10" s="718">
        <f>tertiair!J16</f>
        <v>0.13271523872125515</v>
      </c>
      <c r="L10" s="718">
        <f>tertiair!K16</f>
        <v>0</v>
      </c>
      <c r="M10" s="718">
        <f ca="1">tertiair!L16</f>
        <v>0</v>
      </c>
      <c r="N10" s="718">
        <f>tertiair!M16</f>
        <v>0</v>
      </c>
      <c r="O10" s="718">
        <f ca="1">tertiair!N16</f>
        <v>5280.4778974689416</v>
      </c>
      <c r="P10" s="718">
        <f>tertiair!O16</f>
        <v>9.3800000000000008</v>
      </c>
      <c r="Q10" s="719">
        <f>tertiair!P16</f>
        <v>38.133333333333333</v>
      </c>
      <c r="R10" s="721">
        <f ca="1">SUM(C10:Q10)</f>
        <v>121761.00985439353</v>
      </c>
      <c r="S10" s="67"/>
    </row>
    <row r="11" spans="1:19" s="474" customFormat="1">
      <c r="A11" s="870" t="s">
        <v>225</v>
      </c>
      <c r="B11" s="875"/>
      <c r="C11" s="718">
        <f>huishoudens!B8</f>
        <v>72583.427679528861</v>
      </c>
      <c r="D11" s="718">
        <f>huishoudens!C8</f>
        <v>0</v>
      </c>
      <c r="E11" s="718">
        <f>huishoudens!D8</f>
        <v>144034.30279968417</v>
      </c>
      <c r="F11" s="718">
        <f>huishoudens!E8</f>
        <v>15433.477527798623</v>
      </c>
      <c r="G11" s="718">
        <f>huishoudens!F8</f>
        <v>96426.101253571731</v>
      </c>
      <c r="H11" s="718">
        <f>huishoudens!G8</f>
        <v>0</v>
      </c>
      <c r="I11" s="718">
        <f>huishoudens!H8</f>
        <v>0</v>
      </c>
      <c r="J11" s="718">
        <f>huishoudens!I8</f>
        <v>0</v>
      </c>
      <c r="K11" s="718">
        <f>huishoudens!J8</f>
        <v>151.61940596043047</v>
      </c>
      <c r="L11" s="718">
        <f>huishoudens!K8</f>
        <v>0</v>
      </c>
      <c r="M11" s="718">
        <f>huishoudens!L8</f>
        <v>0</v>
      </c>
      <c r="N11" s="718">
        <f>huishoudens!M8</f>
        <v>0</v>
      </c>
      <c r="O11" s="718">
        <f>huishoudens!N8</f>
        <v>41775.173659574197</v>
      </c>
      <c r="P11" s="718">
        <f>huishoudens!O8</f>
        <v>681.61333333333334</v>
      </c>
      <c r="Q11" s="719">
        <f>huishoudens!P8</f>
        <v>3451.0666666666666</v>
      </c>
      <c r="R11" s="721">
        <f>SUM(C11:Q11)</f>
        <v>374536.78232611797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55626.462899254824</v>
      </c>
      <c r="D13" s="718">
        <f>industrie!C18</f>
        <v>0</v>
      </c>
      <c r="E13" s="718">
        <f>industrie!D18</f>
        <v>40899.041219334758</v>
      </c>
      <c r="F13" s="718">
        <f>industrie!E18</f>
        <v>6096.4056317388086</v>
      </c>
      <c r="G13" s="718">
        <f>industrie!F18</f>
        <v>17451.63490340727</v>
      </c>
      <c r="H13" s="718">
        <f>industrie!G18</f>
        <v>0</v>
      </c>
      <c r="I13" s="718">
        <f>industrie!H18</f>
        <v>0</v>
      </c>
      <c r="J13" s="718">
        <f>industrie!I18</f>
        <v>0</v>
      </c>
      <c r="K13" s="718">
        <f>industrie!J18</f>
        <v>38.388261142488908</v>
      </c>
      <c r="L13" s="718">
        <f>industrie!K18</f>
        <v>0</v>
      </c>
      <c r="M13" s="718">
        <f>industrie!L18</f>
        <v>0</v>
      </c>
      <c r="N13" s="718">
        <f>industrie!M18</f>
        <v>0</v>
      </c>
      <c r="O13" s="718">
        <f>industrie!N18</f>
        <v>9890.5411586951705</v>
      </c>
      <c r="P13" s="718">
        <f>industrie!O18</f>
        <v>0</v>
      </c>
      <c r="Q13" s="719">
        <f>industrie!P18</f>
        <v>0</v>
      </c>
      <c r="R13" s="721">
        <f>SUM(C13:Q13)</f>
        <v>130002.47407357331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179742.51137372543</v>
      </c>
      <c r="D15" s="723">
        <f t="shared" ref="D15:Q15" ca="1" si="0">SUM(D9:D14)</f>
        <v>0</v>
      </c>
      <c r="E15" s="723">
        <f t="shared" ca="1" si="0"/>
        <v>240317.73040000955</v>
      </c>
      <c r="F15" s="723">
        <f t="shared" si="0"/>
        <v>22334.520579341795</v>
      </c>
      <c r="G15" s="723">
        <f t="shared" ca="1" si="0"/>
        <v>122588.9774695948</v>
      </c>
      <c r="H15" s="723">
        <f t="shared" si="0"/>
        <v>0</v>
      </c>
      <c r="I15" s="723">
        <f t="shared" si="0"/>
        <v>0</v>
      </c>
      <c r="J15" s="723">
        <f t="shared" si="0"/>
        <v>0</v>
      </c>
      <c r="K15" s="723">
        <f t="shared" si="0"/>
        <v>190.14038234164065</v>
      </c>
      <c r="L15" s="723">
        <f t="shared" si="0"/>
        <v>0</v>
      </c>
      <c r="M15" s="723">
        <f t="shared" ca="1" si="0"/>
        <v>0</v>
      </c>
      <c r="N15" s="723">
        <f t="shared" si="0"/>
        <v>0</v>
      </c>
      <c r="O15" s="723">
        <f t="shared" ca="1" si="0"/>
        <v>56946.192715738303</v>
      </c>
      <c r="P15" s="723">
        <f t="shared" si="0"/>
        <v>690.99333333333334</v>
      </c>
      <c r="Q15" s="724">
        <f t="shared" si="0"/>
        <v>3489.2</v>
      </c>
      <c r="R15" s="725">
        <f ca="1">SUM(R9:R14)</f>
        <v>626300.26625408488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2522.8817902642772</v>
      </c>
      <c r="I18" s="718">
        <f>transport!H54</f>
        <v>0</v>
      </c>
      <c r="J18" s="718">
        <f>transport!I54</f>
        <v>0</v>
      </c>
      <c r="K18" s="718">
        <f>transport!J54</f>
        <v>0</v>
      </c>
      <c r="L18" s="718">
        <f>transport!K54</f>
        <v>0</v>
      </c>
      <c r="M18" s="718">
        <f>transport!L54</f>
        <v>0</v>
      </c>
      <c r="N18" s="718">
        <f>transport!M54</f>
        <v>143.28854823263856</v>
      </c>
      <c r="O18" s="718">
        <f>transport!N54</f>
        <v>0</v>
      </c>
      <c r="P18" s="718">
        <f>transport!O54</f>
        <v>0</v>
      </c>
      <c r="Q18" s="719">
        <f>transport!P54</f>
        <v>0</v>
      </c>
      <c r="R18" s="721">
        <f>SUM(C18:Q18)</f>
        <v>2666.170338496916</v>
      </c>
      <c r="S18" s="67"/>
    </row>
    <row r="19" spans="1:19" s="474" customFormat="1" ht="15" thickBot="1">
      <c r="A19" s="870" t="s">
        <v>307</v>
      </c>
      <c r="B19" s="875"/>
      <c r="C19" s="727">
        <f>transport!B14</f>
        <v>100.84273307754731</v>
      </c>
      <c r="D19" s="727">
        <f>transport!C14</f>
        <v>0</v>
      </c>
      <c r="E19" s="727">
        <f>transport!D14</f>
        <v>346.00391135457545</v>
      </c>
      <c r="F19" s="727">
        <f>transport!E14</f>
        <v>462.64870799064175</v>
      </c>
      <c r="G19" s="727">
        <f>transport!F14</f>
        <v>0</v>
      </c>
      <c r="H19" s="727">
        <f>transport!G14</f>
        <v>143841.06152854153</v>
      </c>
      <c r="I19" s="727">
        <f>transport!H14</f>
        <v>39035.801036102697</v>
      </c>
      <c r="J19" s="727">
        <f>transport!I14</f>
        <v>0</v>
      </c>
      <c r="K19" s="727">
        <f>transport!J14</f>
        <v>0</v>
      </c>
      <c r="L19" s="727">
        <f>transport!K14</f>
        <v>0</v>
      </c>
      <c r="M19" s="727">
        <f>transport!L14</f>
        <v>0</v>
      </c>
      <c r="N19" s="727">
        <f>transport!M14</f>
        <v>9562.4933229804501</v>
      </c>
      <c r="O19" s="727">
        <f>transport!N14</f>
        <v>0</v>
      </c>
      <c r="P19" s="727">
        <f>transport!O14</f>
        <v>0</v>
      </c>
      <c r="Q19" s="728">
        <f>transport!P14</f>
        <v>0</v>
      </c>
      <c r="R19" s="729">
        <f>SUM(C19:Q19)</f>
        <v>193348.85124004743</v>
      </c>
      <c r="S19" s="67"/>
    </row>
    <row r="20" spans="1:19" s="474" customFormat="1" ht="15.75" thickBot="1">
      <c r="A20" s="730" t="s">
        <v>230</v>
      </c>
      <c r="B20" s="878"/>
      <c r="C20" s="873">
        <f>SUM(C17:C19)</f>
        <v>100.84273307754731</v>
      </c>
      <c r="D20" s="731">
        <f t="shared" ref="D20:R20" si="1">SUM(D17:D19)</f>
        <v>0</v>
      </c>
      <c r="E20" s="731">
        <f t="shared" si="1"/>
        <v>346.00391135457545</v>
      </c>
      <c r="F20" s="731">
        <f t="shared" si="1"/>
        <v>462.64870799064175</v>
      </c>
      <c r="G20" s="731">
        <f t="shared" si="1"/>
        <v>0</v>
      </c>
      <c r="H20" s="731">
        <f t="shared" si="1"/>
        <v>146363.9433188058</v>
      </c>
      <c r="I20" s="731">
        <f t="shared" si="1"/>
        <v>39035.801036102697</v>
      </c>
      <c r="J20" s="731">
        <f t="shared" si="1"/>
        <v>0</v>
      </c>
      <c r="K20" s="731">
        <f t="shared" si="1"/>
        <v>0</v>
      </c>
      <c r="L20" s="731">
        <f t="shared" si="1"/>
        <v>0</v>
      </c>
      <c r="M20" s="731">
        <f t="shared" si="1"/>
        <v>0</v>
      </c>
      <c r="N20" s="731">
        <f t="shared" si="1"/>
        <v>9705.7818712130884</v>
      </c>
      <c r="O20" s="731">
        <f t="shared" si="1"/>
        <v>0</v>
      </c>
      <c r="P20" s="731">
        <f t="shared" si="1"/>
        <v>0</v>
      </c>
      <c r="Q20" s="732">
        <f t="shared" si="1"/>
        <v>0</v>
      </c>
      <c r="R20" s="733">
        <f t="shared" si="1"/>
        <v>196015.02157854434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1914.2975370854369</v>
      </c>
      <c r="D22" s="727">
        <f>+landbouw!C8</f>
        <v>0</v>
      </c>
      <c r="E22" s="727">
        <f>+landbouw!D8</f>
        <v>6645.3525753059421</v>
      </c>
      <c r="F22" s="727">
        <f>+landbouw!E8</f>
        <v>56.267051554481768</v>
      </c>
      <c r="G22" s="727">
        <f>+landbouw!F8</f>
        <v>7974.8600962885175</v>
      </c>
      <c r="H22" s="727">
        <f>+landbouw!G8</f>
        <v>0</v>
      </c>
      <c r="I22" s="727">
        <f>+landbouw!H8</f>
        <v>0</v>
      </c>
      <c r="J22" s="727">
        <f>+landbouw!I8</f>
        <v>0</v>
      </c>
      <c r="K22" s="727">
        <f>+landbouw!J8</f>
        <v>277.34060311348924</v>
      </c>
      <c r="L22" s="727">
        <f>+landbouw!K8</f>
        <v>0</v>
      </c>
      <c r="M22" s="727">
        <f>+landbouw!L8</f>
        <v>0</v>
      </c>
      <c r="N22" s="727">
        <f>+landbouw!M8</f>
        <v>0</v>
      </c>
      <c r="O22" s="727">
        <f>+landbouw!N8</f>
        <v>0</v>
      </c>
      <c r="P22" s="727">
        <f>+landbouw!O8</f>
        <v>0</v>
      </c>
      <c r="Q22" s="728">
        <f>+landbouw!P8</f>
        <v>0</v>
      </c>
      <c r="R22" s="729">
        <f>SUM(C22:Q22)</f>
        <v>16868.117863347867</v>
      </c>
      <c r="S22" s="67"/>
    </row>
    <row r="23" spans="1:19" s="474" customFormat="1" ht="17.25" thickTop="1" thickBot="1">
      <c r="A23" s="734" t="s">
        <v>116</v>
      </c>
      <c r="B23" s="864"/>
      <c r="C23" s="735">
        <f ca="1">C20+C15+C22</f>
        <v>181757.65164388841</v>
      </c>
      <c r="D23" s="735">
        <f t="shared" ref="D23:Q23" ca="1" si="2">D20+D15+D22</f>
        <v>0</v>
      </c>
      <c r="E23" s="735">
        <f t="shared" ca="1" si="2"/>
        <v>247309.08688667006</v>
      </c>
      <c r="F23" s="735">
        <f t="shared" si="2"/>
        <v>22853.436338886917</v>
      </c>
      <c r="G23" s="735">
        <f t="shared" ca="1" si="2"/>
        <v>130563.83756588332</v>
      </c>
      <c r="H23" s="735">
        <f t="shared" si="2"/>
        <v>146363.9433188058</v>
      </c>
      <c r="I23" s="735">
        <f t="shared" si="2"/>
        <v>39035.801036102697</v>
      </c>
      <c r="J23" s="735">
        <f t="shared" si="2"/>
        <v>0</v>
      </c>
      <c r="K23" s="735">
        <f t="shared" si="2"/>
        <v>467.48098545512988</v>
      </c>
      <c r="L23" s="735">
        <f t="shared" si="2"/>
        <v>0</v>
      </c>
      <c r="M23" s="735">
        <f t="shared" ca="1" si="2"/>
        <v>0</v>
      </c>
      <c r="N23" s="735">
        <f t="shared" si="2"/>
        <v>9705.7818712130884</v>
      </c>
      <c r="O23" s="735">
        <f t="shared" ca="1" si="2"/>
        <v>56946.192715738303</v>
      </c>
      <c r="P23" s="735">
        <f t="shared" si="2"/>
        <v>690.99333333333334</v>
      </c>
      <c r="Q23" s="736">
        <f t="shared" si="2"/>
        <v>3489.2</v>
      </c>
      <c r="R23" s="737">
        <f ca="1">R20+R15+R22</f>
        <v>839183.40569597704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10568.504084711632</v>
      </c>
      <c r="D36" s="718">
        <f ca="1">tertiair!C20</f>
        <v>0</v>
      </c>
      <c r="E36" s="718">
        <f ca="1">tertiair!D20</f>
        <v>11187.646048960105</v>
      </c>
      <c r="F36" s="718">
        <f>tertiair!E20</f>
        <v>182.65269429559098</v>
      </c>
      <c r="G36" s="718">
        <f ca="1">tertiair!F20</f>
        <v>2325.9014304684165</v>
      </c>
      <c r="H36" s="718">
        <f>tertiair!G20</f>
        <v>0</v>
      </c>
      <c r="I36" s="718">
        <f>tertiair!H20</f>
        <v>0</v>
      </c>
      <c r="J36" s="718">
        <f>tertiair!I20</f>
        <v>0</v>
      </c>
      <c r="K36" s="718">
        <f>tertiair!J20</f>
        <v>4.6981194507324318E-2</v>
      </c>
      <c r="L36" s="718">
        <f>tertiair!K20</f>
        <v>0</v>
      </c>
      <c r="M36" s="718">
        <f ca="1">tertiair!L20</f>
        <v>0</v>
      </c>
      <c r="N36" s="718">
        <f>tertiair!M20</f>
        <v>0</v>
      </c>
      <c r="O36" s="718">
        <f ca="1">tertiair!N20</f>
        <v>0</v>
      </c>
      <c r="P36" s="718">
        <f>tertiair!O20</f>
        <v>0</v>
      </c>
      <c r="Q36" s="828">
        <f>tertiair!P20</f>
        <v>0</v>
      </c>
      <c r="R36" s="917">
        <f ca="1">SUM(C36:Q36)</f>
        <v>24264.751239630252</v>
      </c>
    </row>
    <row r="37" spans="1:18">
      <c r="A37" s="885" t="s">
        <v>225</v>
      </c>
      <c r="B37" s="892"/>
      <c r="C37" s="718">
        <f ca="1">huishoudens!B12</f>
        <v>14885.682895226775</v>
      </c>
      <c r="D37" s="718">
        <f ca="1">huishoudens!C12</f>
        <v>0</v>
      </c>
      <c r="E37" s="718">
        <f>huishoudens!D12</f>
        <v>29094.929165536203</v>
      </c>
      <c r="F37" s="718">
        <f>huishoudens!E12</f>
        <v>3503.3993988102875</v>
      </c>
      <c r="G37" s="718">
        <f>huishoudens!F12</f>
        <v>25745.769034703655</v>
      </c>
      <c r="H37" s="718">
        <f>huishoudens!G12</f>
        <v>0</v>
      </c>
      <c r="I37" s="718">
        <f>huishoudens!H12</f>
        <v>0</v>
      </c>
      <c r="J37" s="718">
        <f>huishoudens!I12</f>
        <v>0</v>
      </c>
      <c r="K37" s="718">
        <f>huishoudens!J12</f>
        <v>53.673269709992383</v>
      </c>
      <c r="L37" s="718">
        <f>huishoudens!K12</f>
        <v>0</v>
      </c>
      <c r="M37" s="718">
        <f>huishoudens!L12</f>
        <v>0</v>
      </c>
      <c r="N37" s="718">
        <f>huishoudens!M12</f>
        <v>0</v>
      </c>
      <c r="O37" s="718">
        <f>huishoudens!N12</f>
        <v>0</v>
      </c>
      <c r="P37" s="718">
        <f>huishoudens!O12</f>
        <v>0</v>
      </c>
      <c r="Q37" s="828">
        <f>huishoudens!P12</f>
        <v>0</v>
      </c>
      <c r="R37" s="917">
        <f ca="1">SUM(C37:Q37)</f>
        <v>73283.453763986923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11408.08465201404</v>
      </c>
      <c r="D39" s="718">
        <f ca="1">industrie!C22</f>
        <v>0</v>
      </c>
      <c r="E39" s="718">
        <f>industrie!D22</f>
        <v>8261.6063263056221</v>
      </c>
      <c r="F39" s="718">
        <f>industrie!E22</f>
        <v>1383.8840784047095</v>
      </c>
      <c r="G39" s="718">
        <f>industrie!F22</f>
        <v>4659.5865192097417</v>
      </c>
      <c r="H39" s="718">
        <f>industrie!G22</f>
        <v>0</v>
      </c>
      <c r="I39" s="718">
        <f>industrie!H22</f>
        <v>0</v>
      </c>
      <c r="J39" s="718">
        <f>industrie!I22</f>
        <v>0</v>
      </c>
      <c r="K39" s="718">
        <f>industrie!J22</f>
        <v>13.589444444441073</v>
      </c>
      <c r="L39" s="718">
        <f>industrie!K22</f>
        <v>0</v>
      </c>
      <c r="M39" s="718">
        <f>industrie!L22</f>
        <v>0</v>
      </c>
      <c r="N39" s="718">
        <f>industrie!M22</f>
        <v>0</v>
      </c>
      <c r="O39" s="718">
        <f>industrie!N22</f>
        <v>0</v>
      </c>
      <c r="P39" s="718">
        <f>industrie!O22</f>
        <v>0</v>
      </c>
      <c r="Q39" s="828">
        <f>industrie!P22</f>
        <v>0</v>
      </c>
      <c r="R39" s="918">
        <f ca="1">SUM(C39:Q39)</f>
        <v>25726.751020378553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36862.271631952448</v>
      </c>
      <c r="D41" s="763">
        <f t="shared" ref="D41:R41" ca="1" si="4">SUM(D35:D40)</f>
        <v>0</v>
      </c>
      <c r="E41" s="763">
        <f t="shared" ca="1" si="4"/>
        <v>48544.181540801925</v>
      </c>
      <c r="F41" s="763">
        <f t="shared" si="4"/>
        <v>5069.9361715105879</v>
      </c>
      <c r="G41" s="763">
        <f t="shared" ca="1" si="4"/>
        <v>32731.256984381813</v>
      </c>
      <c r="H41" s="763">
        <f t="shared" si="4"/>
        <v>0</v>
      </c>
      <c r="I41" s="763">
        <f t="shared" si="4"/>
        <v>0</v>
      </c>
      <c r="J41" s="763">
        <f t="shared" si="4"/>
        <v>0</v>
      </c>
      <c r="K41" s="763">
        <f t="shared" si="4"/>
        <v>67.309695348940778</v>
      </c>
      <c r="L41" s="763">
        <f t="shared" si="4"/>
        <v>0</v>
      </c>
      <c r="M41" s="763">
        <f t="shared" ca="1" si="4"/>
        <v>0</v>
      </c>
      <c r="N41" s="763">
        <f t="shared" si="4"/>
        <v>0</v>
      </c>
      <c r="O41" s="763">
        <f t="shared" ca="1" si="4"/>
        <v>0</v>
      </c>
      <c r="P41" s="763">
        <f t="shared" si="4"/>
        <v>0</v>
      </c>
      <c r="Q41" s="764">
        <f t="shared" si="4"/>
        <v>0</v>
      </c>
      <c r="R41" s="765">
        <f t="shared" ca="1" si="4"/>
        <v>123274.95602399572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673.60943800056202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673.60943800056202</v>
      </c>
    </row>
    <row r="45" spans="1:18" ht="15" thickBot="1">
      <c r="A45" s="888" t="s">
        <v>307</v>
      </c>
      <c r="B45" s="898"/>
      <c r="C45" s="727">
        <f ca="1">transport!B18</f>
        <v>20.681207747698213</v>
      </c>
      <c r="D45" s="727">
        <f>transport!C18</f>
        <v>0</v>
      </c>
      <c r="E45" s="727">
        <f>transport!D18</f>
        <v>69.892790093624242</v>
      </c>
      <c r="F45" s="727">
        <f>transport!E18</f>
        <v>105.02125671387569</v>
      </c>
      <c r="G45" s="727">
        <f>transport!F18</f>
        <v>0</v>
      </c>
      <c r="H45" s="727">
        <f>transport!G18</f>
        <v>38405.563428120593</v>
      </c>
      <c r="I45" s="727">
        <f>transport!H18</f>
        <v>9719.914457989571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48321.073140665365</v>
      </c>
    </row>
    <row r="46" spans="1:18" ht="15.75" thickBot="1">
      <c r="A46" s="886" t="s">
        <v>230</v>
      </c>
      <c r="B46" s="899"/>
      <c r="C46" s="763">
        <f t="shared" ref="C46:R46" ca="1" si="5">SUM(C43:C45)</f>
        <v>20.681207747698213</v>
      </c>
      <c r="D46" s="763">
        <f t="shared" ca="1" si="5"/>
        <v>0</v>
      </c>
      <c r="E46" s="763">
        <f t="shared" si="5"/>
        <v>69.892790093624242</v>
      </c>
      <c r="F46" s="763">
        <f t="shared" si="5"/>
        <v>105.02125671387569</v>
      </c>
      <c r="G46" s="763">
        <f t="shared" si="5"/>
        <v>0</v>
      </c>
      <c r="H46" s="763">
        <f t="shared" si="5"/>
        <v>39079.172866121153</v>
      </c>
      <c r="I46" s="763">
        <f t="shared" si="5"/>
        <v>9719.914457989571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48994.682578665925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392.59135335935952</v>
      </c>
      <c r="D48" s="718">
        <f ca="1">+landbouw!C12</f>
        <v>0</v>
      </c>
      <c r="E48" s="718">
        <f>+landbouw!D12</f>
        <v>1342.3612202118004</v>
      </c>
      <c r="F48" s="718">
        <f>+landbouw!E12</f>
        <v>12.772620702867362</v>
      </c>
      <c r="G48" s="718">
        <f>+landbouw!F12</f>
        <v>2129.2876457090342</v>
      </c>
      <c r="H48" s="718">
        <f>+landbouw!G12</f>
        <v>0</v>
      </c>
      <c r="I48" s="718">
        <f>+landbouw!H12</f>
        <v>0</v>
      </c>
      <c r="J48" s="718">
        <f>+landbouw!I12</f>
        <v>0</v>
      </c>
      <c r="K48" s="718">
        <f>+landbouw!J12</f>
        <v>98.178573502175183</v>
      </c>
      <c r="L48" s="718">
        <f>+landbouw!K12</f>
        <v>0</v>
      </c>
      <c r="M48" s="718">
        <f>+landbouw!L12</f>
        <v>0</v>
      </c>
      <c r="N48" s="718">
        <f>+landbouw!M12</f>
        <v>0</v>
      </c>
      <c r="O48" s="718">
        <f>+landbouw!N12</f>
        <v>0</v>
      </c>
      <c r="P48" s="718">
        <f>+landbouw!O12</f>
        <v>0</v>
      </c>
      <c r="Q48" s="719">
        <f>+landbouw!P12</f>
        <v>0</v>
      </c>
      <c r="R48" s="761">
        <f ca="1">SUM(C48:Q48)</f>
        <v>3975.1914134852373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37275.544193059512</v>
      </c>
      <c r="D53" s="773">
        <f t="shared" ref="D53:Q53" ca="1" si="6">D41+D46+D48</f>
        <v>0</v>
      </c>
      <c r="E53" s="773">
        <f t="shared" ca="1" si="6"/>
        <v>49956.435551107352</v>
      </c>
      <c r="F53" s="773">
        <f t="shared" si="6"/>
        <v>5187.7300489273312</v>
      </c>
      <c r="G53" s="773">
        <f t="shared" ca="1" si="6"/>
        <v>34860.544630090844</v>
      </c>
      <c r="H53" s="773">
        <f t="shared" si="6"/>
        <v>39079.172866121153</v>
      </c>
      <c r="I53" s="773">
        <f t="shared" si="6"/>
        <v>9719.914457989571</v>
      </c>
      <c r="J53" s="773">
        <f t="shared" si="6"/>
        <v>0</v>
      </c>
      <c r="K53" s="773">
        <f t="shared" si="6"/>
        <v>165.48826885111595</v>
      </c>
      <c r="L53" s="773">
        <f t="shared" si="6"/>
        <v>0</v>
      </c>
      <c r="M53" s="773">
        <f t="shared" ca="1" si="6"/>
        <v>0</v>
      </c>
      <c r="N53" s="773">
        <f t="shared" si="6"/>
        <v>0</v>
      </c>
      <c r="O53" s="773">
        <f t="shared" ca="1" si="6"/>
        <v>0</v>
      </c>
      <c r="P53" s="773">
        <f>P41+P46+P48</f>
        <v>0</v>
      </c>
      <c r="Q53" s="774">
        <f t="shared" si="6"/>
        <v>0</v>
      </c>
      <c r="R53" s="775">
        <f ca="1">R41+R46+R48</f>
        <v>176244.83001614688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0.20508376872128728</v>
      </c>
      <c r="D55" s="836">
        <f t="shared" ca="1" si="7"/>
        <v>0</v>
      </c>
      <c r="E55" s="836">
        <f t="shared" ca="1" si="7"/>
        <v>0.20199999999999999</v>
      </c>
      <c r="F55" s="836">
        <f t="shared" si="7"/>
        <v>0.22700000000000004</v>
      </c>
      <c r="G55" s="836">
        <f t="shared" ca="1" si="7"/>
        <v>0.26699999999999996</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13090.030860813746</v>
      </c>
      <c r="C66" s="795">
        <f>'lokale energieproductie'!B6</f>
        <v>13090.030860813746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13090.030860813746</v>
      </c>
      <c r="C69" s="803">
        <f>SUM(C64:C68)</f>
        <v>13090.030860813746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72583.427679528861</v>
      </c>
      <c r="C4" s="478">
        <f>huishoudens!C8</f>
        <v>0</v>
      </c>
      <c r="D4" s="478">
        <f>huishoudens!D8</f>
        <v>144034.30279968417</v>
      </c>
      <c r="E4" s="478">
        <f>huishoudens!E8</f>
        <v>15433.477527798623</v>
      </c>
      <c r="F4" s="478">
        <f>huishoudens!F8</f>
        <v>96426.101253571731</v>
      </c>
      <c r="G4" s="478">
        <f>huishoudens!G8</f>
        <v>0</v>
      </c>
      <c r="H4" s="478">
        <f>huishoudens!H8</f>
        <v>0</v>
      </c>
      <c r="I4" s="478">
        <f>huishoudens!I8</f>
        <v>0</v>
      </c>
      <c r="J4" s="478">
        <f>huishoudens!J8</f>
        <v>151.61940596043047</v>
      </c>
      <c r="K4" s="478">
        <f>huishoudens!K8</f>
        <v>0</v>
      </c>
      <c r="L4" s="478">
        <f>huishoudens!L8</f>
        <v>0</v>
      </c>
      <c r="M4" s="478">
        <f>huishoudens!M8</f>
        <v>0</v>
      </c>
      <c r="N4" s="478">
        <f>huishoudens!N8</f>
        <v>41775.173659574197</v>
      </c>
      <c r="O4" s="478">
        <f>huishoudens!O8</f>
        <v>681.61333333333334</v>
      </c>
      <c r="P4" s="479">
        <f>huishoudens!P8</f>
        <v>3451.0666666666666</v>
      </c>
      <c r="Q4" s="480">
        <f>SUM(B4:P4)</f>
        <v>374536.78232611797</v>
      </c>
    </row>
    <row r="5" spans="1:17">
      <c r="A5" s="477" t="s">
        <v>156</v>
      </c>
      <c r="B5" s="478">
        <f ca="1">tertiair!B16</f>
        <v>48708.113794941761</v>
      </c>
      <c r="C5" s="478">
        <f ca="1">tertiair!C16</f>
        <v>0</v>
      </c>
      <c r="D5" s="478">
        <f ca="1">tertiair!D16</f>
        <v>55384.386380990618</v>
      </c>
      <c r="E5" s="478">
        <f>tertiair!E16</f>
        <v>804.63741980436555</v>
      </c>
      <c r="F5" s="478">
        <f ca="1">tertiair!F16</f>
        <v>8711.2413126157917</v>
      </c>
      <c r="G5" s="478">
        <f>tertiair!G16</f>
        <v>0</v>
      </c>
      <c r="H5" s="478">
        <f>tertiair!H16</f>
        <v>0</v>
      </c>
      <c r="I5" s="478">
        <f>tertiair!I16</f>
        <v>0</v>
      </c>
      <c r="J5" s="478">
        <f>tertiair!J16</f>
        <v>0.13271523872125515</v>
      </c>
      <c r="K5" s="478">
        <f>tertiair!K16</f>
        <v>0</v>
      </c>
      <c r="L5" s="478">
        <f ca="1">tertiair!L16</f>
        <v>0</v>
      </c>
      <c r="M5" s="478">
        <f>tertiair!M16</f>
        <v>0</v>
      </c>
      <c r="N5" s="478">
        <f ca="1">tertiair!N16</f>
        <v>5280.4778974689416</v>
      </c>
      <c r="O5" s="478">
        <f>tertiair!O16</f>
        <v>9.3800000000000008</v>
      </c>
      <c r="P5" s="479">
        <f>tertiair!P16</f>
        <v>38.133333333333333</v>
      </c>
      <c r="Q5" s="477">
        <f t="shared" ref="Q5:Q13" ca="1" si="0">SUM(B5:P5)</f>
        <v>118936.50285439353</v>
      </c>
    </row>
    <row r="6" spans="1:17">
      <c r="A6" s="477" t="s">
        <v>194</v>
      </c>
      <c r="B6" s="478">
        <f>'openbare verlichting'!B8</f>
        <v>2824.5070000000001</v>
      </c>
      <c r="C6" s="478"/>
      <c r="D6" s="478"/>
      <c r="E6" s="478"/>
      <c r="F6" s="478"/>
      <c r="G6" s="478"/>
      <c r="H6" s="478"/>
      <c r="I6" s="478"/>
      <c r="J6" s="478"/>
      <c r="K6" s="478"/>
      <c r="L6" s="478"/>
      <c r="M6" s="478"/>
      <c r="N6" s="478"/>
      <c r="O6" s="478"/>
      <c r="P6" s="479"/>
      <c r="Q6" s="477">
        <f t="shared" si="0"/>
        <v>2824.5070000000001</v>
      </c>
    </row>
    <row r="7" spans="1:17">
      <c r="A7" s="477" t="s">
        <v>112</v>
      </c>
      <c r="B7" s="478">
        <f>landbouw!B8</f>
        <v>1914.2975370854369</v>
      </c>
      <c r="C7" s="478">
        <f>landbouw!C8</f>
        <v>0</v>
      </c>
      <c r="D7" s="478">
        <f>landbouw!D8</f>
        <v>6645.3525753059421</v>
      </c>
      <c r="E7" s="478">
        <f>landbouw!E8</f>
        <v>56.267051554481768</v>
      </c>
      <c r="F7" s="478">
        <f>landbouw!F8</f>
        <v>7974.8600962885175</v>
      </c>
      <c r="G7" s="478">
        <f>landbouw!G8</f>
        <v>0</v>
      </c>
      <c r="H7" s="478">
        <f>landbouw!H8</f>
        <v>0</v>
      </c>
      <c r="I7" s="478">
        <f>landbouw!I8</f>
        <v>0</v>
      </c>
      <c r="J7" s="478">
        <f>landbouw!J8</f>
        <v>277.34060311348924</v>
      </c>
      <c r="K7" s="478">
        <f>landbouw!K8</f>
        <v>0</v>
      </c>
      <c r="L7" s="478">
        <f>landbouw!L8</f>
        <v>0</v>
      </c>
      <c r="M7" s="478">
        <f>landbouw!M8</f>
        <v>0</v>
      </c>
      <c r="N7" s="478">
        <f>landbouw!N8</f>
        <v>0</v>
      </c>
      <c r="O7" s="478">
        <f>landbouw!O8</f>
        <v>0</v>
      </c>
      <c r="P7" s="479">
        <f>landbouw!P8</f>
        <v>0</v>
      </c>
      <c r="Q7" s="477">
        <f t="shared" si="0"/>
        <v>16868.117863347867</v>
      </c>
    </row>
    <row r="8" spans="1:17">
      <c r="A8" s="477" t="s">
        <v>635</v>
      </c>
      <c r="B8" s="478">
        <f>industrie!B18</f>
        <v>55626.462899254824</v>
      </c>
      <c r="C8" s="478">
        <f>industrie!C18</f>
        <v>0</v>
      </c>
      <c r="D8" s="478">
        <f>industrie!D18</f>
        <v>40899.041219334758</v>
      </c>
      <c r="E8" s="478">
        <f>industrie!E18</f>
        <v>6096.4056317388086</v>
      </c>
      <c r="F8" s="478">
        <f>industrie!F18</f>
        <v>17451.63490340727</v>
      </c>
      <c r="G8" s="478">
        <f>industrie!G18</f>
        <v>0</v>
      </c>
      <c r="H8" s="478">
        <f>industrie!H18</f>
        <v>0</v>
      </c>
      <c r="I8" s="478">
        <f>industrie!I18</f>
        <v>0</v>
      </c>
      <c r="J8" s="478">
        <f>industrie!J18</f>
        <v>38.388261142488908</v>
      </c>
      <c r="K8" s="478">
        <f>industrie!K18</f>
        <v>0</v>
      </c>
      <c r="L8" s="478">
        <f>industrie!L18</f>
        <v>0</v>
      </c>
      <c r="M8" s="478">
        <f>industrie!M18</f>
        <v>0</v>
      </c>
      <c r="N8" s="478">
        <f>industrie!N18</f>
        <v>9890.5411586951705</v>
      </c>
      <c r="O8" s="478">
        <f>industrie!O18</f>
        <v>0</v>
      </c>
      <c r="P8" s="479">
        <f>industrie!P18</f>
        <v>0</v>
      </c>
      <c r="Q8" s="477">
        <f t="shared" si="0"/>
        <v>130002.47407357331</v>
      </c>
    </row>
    <row r="9" spans="1:17" s="483" customFormat="1">
      <c r="A9" s="481" t="s">
        <v>561</v>
      </c>
      <c r="B9" s="482">
        <f>transport!B14</f>
        <v>100.84273307754731</v>
      </c>
      <c r="C9" s="482"/>
      <c r="D9" s="482">
        <f>transport!D14</f>
        <v>346.00391135457545</v>
      </c>
      <c r="E9" s="482">
        <f>transport!E14</f>
        <v>462.64870799064175</v>
      </c>
      <c r="F9" s="482"/>
      <c r="G9" s="482">
        <f>transport!G14</f>
        <v>143841.06152854153</v>
      </c>
      <c r="H9" s="482">
        <f>transport!H14</f>
        <v>39035.801036102697</v>
      </c>
      <c r="I9" s="482"/>
      <c r="J9" s="482"/>
      <c r="K9" s="482"/>
      <c r="L9" s="482"/>
      <c r="M9" s="482">
        <f>transport!M14</f>
        <v>9562.4933229804501</v>
      </c>
      <c r="N9" s="482"/>
      <c r="O9" s="482"/>
      <c r="P9" s="482"/>
      <c r="Q9" s="481">
        <f>SUM(B9:P9)</f>
        <v>193348.85124004743</v>
      </c>
    </row>
    <row r="10" spans="1:17">
      <c r="A10" s="477" t="s">
        <v>551</v>
      </c>
      <c r="B10" s="478">
        <f>transport!B54</f>
        <v>0</v>
      </c>
      <c r="C10" s="478"/>
      <c r="D10" s="478">
        <f>transport!D54</f>
        <v>0</v>
      </c>
      <c r="E10" s="478"/>
      <c r="F10" s="478"/>
      <c r="G10" s="478">
        <f>transport!G54</f>
        <v>2522.8817902642772</v>
      </c>
      <c r="H10" s="478"/>
      <c r="I10" s="478"/>
      <c r="J10" s="478"/>
      <c r="K10" s="478"/>
      <c r="L10" s="478"/>
      <c r="M10" s="478">
        <f>transport!M54</f>
        <v>143.28854823263856</v>
      </c>
      <c r="N10" s="478"/>
      <c r="O10" s="478"/>
      <c r="P10" s="479"/>
      <c r="Q10" s="477">
        <f t="shared" si="0"/>
        <v>2666.170338496916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181757.65164388844</v>
      </c>
      <c r="C14" s="488">
        <f t="shared" ref="C14:Q14" ca="1" si="1">SUM(C4:C13)</f>
        <v>0</v>
      </c>
      <c r="D14" s="488">
        <f t="shared" ca="1" si="1"/>
        <v>247309.08688667006</v>
      </c>
      <c r="E14" s="488">
        <f t="shared" si="1"/>
        <v>22853.436338886917</v>
      </c>
      <c r="F14" s="488">
        <f t="shared" ca="1" si="1"/>
        <v>130563.83756588332</v>
      </c>
      <c r="G14" s="488">
        <f t="shared" si="1"/>
        <v>146363.9433188058</v>
      </c>
      <c r="H14" s="488">
        <f t="shared" si="1"/>
        <v>39035.801036102697</v>
      </c>
      <c r="I14" s="488">
        <f t="shared" si="1"/>
        <v>0</v>
      </c>
      <c r="J14" s="488">
        <f t="shared" si="1"/>
        <v>467.48098545512983</v>
      </c>
      <c r="K14" s="488">
        <f t="shared" si="1"/>
        <v>0</v>
      </c>
      <c r="L14" s="488">
        <f t="shared" ca="1" si="1"/>
        <v>0</v>
      </c>
      <c r="M14" s="488">
        <f t="shared" si="1"/>
        <v>9705.7818712130884</v>
      </c>
      <c r="N14" s="488">
        <f t="shared" ca="1" si="1"/>
        <v>56946.192715738303</v>
      </c>
      <c r="O14" s="488">
        <f t="shared" si="1"/>
        <v>690.99333333333334</v>
      </c>
      <c r="P14" s="489">
        <f t="shared" si="1"/>
        <v>3489.2</v>
      </c>
      <c r="Q14" s="489">
        <f t="shared" ca="1" si="1"/>
        <v>839183.40569597704</v>
      </c>
    </row>
    <row r="16" spans="1:17">
      <c r="A16" s="491" t="s">
        <v>556</v>
      </c>
      <c r="B16" s="841">
        <f ca="1">huishoudens!B10</f>
        <v>0.20508376872128722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14885.682895226775</v>
      </c>
      <c r="C21" s="478">
        <f t="shared" ref="C21:C28" ca="1" si="3">C4*$C$16</f>
        <v>0</v>
      </c>
      <c r="D21" s="478">
        <f t="shared" ref="D21:D30" si="4">D4*$D$16</f>
        <v>29094.929165536203</v>
      </c>
      <c r="E21" s="478">
        <f t="shared" ref="E21:E30" si="5">E4*$E$16</f>
        <v>3503.3993988102875</v>
      </c>
      <c r="F21" s="478">
        <f t="shared" ref="F21:F28" si="6">F4*$F$16</f>
        <v>25745.769034703655</v>
      </c>
      <c r="G21" s="478">
        <f t="shared" ref="G21:G30" si="7">G4*$G$16</f>
        <v>0</v>
      </c>
      <c r="H21" s="478">
        <f t="shared" ref="H21:H30" si="8">H4*$H$16</f>
        <v>0</v>
      </c>
      <c r="I21" s="478">
        <f t="shared" ref="I21:I28" si="9">I4*$I$16</f>
        <v>0</v>
      </c>
      <c r="J21" s="478">
        <f t="shared" ref="J21:J28" si="10">J4*$J$16</f>
        <v>53.673269709992383</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73283.453763986923</v>
      </c>
    </row>
    <row r="22" spans="1:17">
      <c r="A22" s="477" t="s">
        <v>156</v>
      </c>
      <c r="B22" s="478">
        <f t="shared" ca="1" si="2"/>
        <v>9989.2435443719751</v>
      </c>
      <c r="C22" s="478">
        <f t="shared" ca="1" si="3"/>
        <v>0</v>
      </c>
      <c r="D22" s="478">
        <f t="shared" ca="1" si="4"/>
        <v>11187.646048960105</v>
      </c>
      <c r="E22" s="478">
        <f t="shared" si="5"/>
        <v>182.65269429559098</v>
      </c>
      <c r="F22" s="478">
        <f t="shared" ca="1" si="6"/>
        <v>2325.9014304684165</v>
      </c>
      <c r="G22" s="478">
        <f t="shared" si="7"/>
        <v>0</v>
      </c>
      <c r="H22" s="478">
        <f t="shared" si="8"/>
        <v>0</v>
      </c>
      <c r="I22" s="478">
        <f t="shared" si="9"/>
        <v>0</v>
      </c>
      <c r="J22" s="478">
        <f t="shared" si="10"/>
        <v>4.6981194507324318E-2</v>
      </c>
      <c r="K22" s="478">
        <f t="shared" si="11"/>
        <v>0</v>
      </c>
      <c r="L22" s="478">
        <f t="shared" ca="1" si="12"/>
        <v>0</v>
      </c>
      <c r="M22" s="478">
        <f t="shared" si="13"/>
        <v>0</v>
      </c>
      <c r="N22" s="478">
        <f t="shared" ca="1" si="14"/>
        <v>0</v>
      </c>
      <c r="O22" s="478">
        <f t="shared" si="15"/>
        <v>0</v>
      </c>
      <c r="P22" s="479">
        <f t="shared" si="16"/>
        <v>0</v>
      </c>
      <c r="Q22" s="477">
        <f t="shared" ref="Q22:Q30" ca="1" si="17">SUM(B22:P22)</f>
        <v>23685.490699290596</v>
      </c>
    </row>
    <row r="23" spans="1:17">
      <c r="A23" s="477" t="s">
        <v>194</v>
      </c>
      <c r="B23" s="478">
        <f t="shared" ca="1" si="2"/>
        <v>579.26054033965681</v>
      </c>
      <c r="C23" s="478"/>
      <c r="D23" s="478"/>
      <c r="E23" s="478"/>
      <c r="F23" s="478"/>
      <c r="G23" s="478"/>
      <c r="H23" s="478"/>
      <c r="I23" s="478"/>
      <c r="J23" s="478"/>
      <c r="K23" s="478"/>
      <c r="L23" s="478"/>
      <c r="M23" s="478"/>
      <c r="N23" s="478"/>
      <c r="O23" s="478"/>
      <c r="P23" s="479"/>
      <c r="Q23" s="477">
        <f t="shared" ca="1" si="17"/>
        <v>579.26054033965681</v>
      </c>
    </row>
    <row r="24" spans="1:17">
      <c r="A24" s="477" t="s">
        <v>112</v>
      </c>
      <c r="B24" s="478">
        <f t="shared" ca="1" si="2"/>
        <v>392.59135335935952</v>
      </c>
      <c r="C24" s="478">
        <f t="shared" ca="1" si="3"/>
        <v>0</v>
      </c>
      <c r="D24" s="478">
        <f t="shared" si="4"/>
        <v>1342.3612202118004</v>
      </c>
      <c r="E24" s="478">
        <f t="shared" si="5"/>
        <v>12.772620702867362</v>
      </c>
      <c r="F24" s="478">
        <f t="shared" si="6"/>
        <v>2129.2876457090342</v>
      </c>
      <c r="G24" s="478">
        <f t="shared" si="7"/>
        <v>0</v>
      </c>
      <c r="H24" s="478">
        <f t="shared" si="8"/>
        <v>0</v>
      </c>
      <c r="I24" s="478">
        <f t="shared" si="9"/>
        <v>0</v>
      </c>
      <c r="J24" s="478">
        <f t="shared" si="10"/>
        <v>98.178573502175183</v>
      </c>
      <c r="K24" s="478">
        <f t="shared" si="11"/>
        <v>0</v>
      </c>
      <c r="L24" s="478">
        <f t="shared" si="12"/>
        <v>0</v>
      </c>
      <c r="M24" s="478">
        <f t="shared" si="13"/>
        <v>0</v>
      </c>
      <c r="N24" s="478">
        <f t="shared" si="14"/>
        <v>0</v>
      </c>
      <c r="O24" s="478">
        <f t="shared" si="15"/>
        <v>0</v>
      </c>
      <c r="P24" s="479">
        <f t="shared" si="16"/>
        <v>0</v>
      </c>
      <c r="Q24" s="477">
        <f t="shared" ca="1" si="17"/>
        <v>3975.1914134852373</v>
      </c>
    </row>
    <row r="25" spans="1:17">
      <c r="A25" s="477" t="s">
        <v>635</v>
      </c>
      <c r="B25" s="478">
        <f t="shared" ca="1" si="2"/>
        <v>11408.08465201404</v>
      </c>
      <c r="C25" s="478">
        <f t="shared" ca="1" si="3"/>
        <v>0</v>
      </c>
      <c r="D25" s="478">
        <f t="shared" si="4"/>
        <v>8261.6063263056221</v>
      </c>
      <c r="E25" s="478">
        <f t="shared" si="5"/>
        <v>1383.8840784047095</v>
      </c>
      <c r="F25" s="478">
        <f t="shared" si="6"/>
        <v>4659.5865192097417</v>
      </c>
      <c r="G25" s="478">
        <f t="shared" si="7"/>
        <v>0</v>
      </c>
      <c r="H25" s="478">
        <f t="shared" si="8"/>
        <v>0</v>
      </c>
      <c r="I25" s="478">
        <f t="shared" si="9"/>
        <v>0</v>
      </c>
      <c r="J25" s="478">
        <f t="shared" si="10"/>
        <v>13.589444444441073</v>
      </c>
      <c r="K25" s="478">
        <f t="shared" si="11"/>
        <v>0</v>
      </c>
      <c r="L25" s="478">
        <f t="shared" si="12"/>
        <v>0</v>
      </c>
      <c r="M25" s="478">
        <f t="shared" si="13"/>
        <v>0</v>
      </c>
      <c r="N25" s="478">
        <f t="shared" si="14"/>
        <v>0</v>
      </c>
      <c r="O25" s="478">
        <f t="shared" si="15"/>
        <v>0</v>
      </c>
      <c r="P25" s="479">
        <f t="shared" si="16"/>
        <v>0</v>
      </c>
      <c r="Q25" s="477">
        <f t="shared" ca="1" si="17"/>
        <v>25726.751020378553</v>
      </c>
    </row>
    <row r="26" spans="1:17" s="483" customFormat="1">
      <c r="A26" s="481" t="s">
        <v>561</v>
      </c>
      <c r="B26" s="835">
        <f t="shared" ca="1" si="2"/>
        <v>20.681207747698213</v>
      </c>
      <c r="C26" s="482"/>
      <c r="D26" s="482">
        <f t="shared" si="4"/>
        <v>69.892790093624242</v>
      </c>
      <c r="E26" s="482">
        <f t="shared" si="5"/>
        <v>105.02125671387569</v>
      </c>
      <c r="F26" s="482"/>
      <c r="G26" s="482">
        <f t="shared" si="7"/>
        <v>38405.563428120593</v>
      </c>
      <c r="H26" s="482">
        <f t="shared" si="8"/>
        <v>9719.914457989571</v>
      </c>
      <c r="I26" s="482"/>
      <c r="J26" s="482"/>
      <c r="K26" s="482"/>
      <c r="L26" s="482"/>
      <c r="M26" s="482">
        <f t="shared" si="13"/>
        <v>0</v>
      </c>
      <c r="N26" s="482"/>
      <c r="O26" s="482"/>
      <c r="P26" s="493"/>
      <c r="Q26" s="481">
        <f t="shared" ca="1" si="17"/>
        <v>48321.073140665365</v>
      </c>
    </row>
    <row r="27" spans="1:17">
      <c r="A27" s="477" t="s">
        <v>551</v>
      </c>
      <c r="B27" s="478">
        <f t="shared" ca="1" si="2"/>
        <v>0</v>
      </c>
      <c r="C27" s="478"/>
      <c r="D27" s="482">
        <f t="shared" si="4"/>
        <v>0</v>
      </c>
      <c r="E27" s="478"/>
      <c r="F27" s="478"/>
      <c r="G27" s="478">
        <f t="shared" si="7"/>
        <v>673.60943800056202</v>
      </c>
      <c r="H27" s="478"/>
      <c r="I27" s="478"/>
      <c r="J27" s="478"/>
      <c r="K27" s="478"/>
      <c r="L27" s="478"/>
      <c r="M27" s="478">
        <f t="shared" si="13"/>
        <v>0</v>
      </c>
      <c r="N27" s="478"/>
      <c r="O27" s="478"/>
      <c r="P27" s="479"/>
      <c r="Q27" s="477">
        <f t="shared" ca="1" si="17"/>
        <v>673.60943800056202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37275.544193059504</v>
      </c>
      <c r="C31" s="488">
        <f t="shared" ca="1" si="18"/>
        <v>0</v>
      </c>
      <c r="D31" s="488">
        <f t="shared" ca="1" si="18"/>
        <v>49956.435551107352</v>
      </c>
      <c r="E31" s="488">
        <f t="shared" si="18"/>
        <v>5187.7300489273312</v>
      </c>
      <c r="F31" s="488">
        <f t="shared" ca="1" si="18"/>
        <v>34860.544630090852</v>
      </c>
      <c r="G31" s="488">
        <f t="shared" si="18"/>
        <v>39079.172866121153</v>
      </c>
      <c r="H31" s="488">
        <f t="shared" si="18"/>
        <v>9719.914457989571</v>
      </c>
      <c r="I31" s="488">
        <f t="shared" si="18"/>
        <v>0</v>
      </c>
      <c r="J31" s="488">
        <f t="shared" si="18"/>
        <v>165.48826885111598</v>
      </c>
      <c r="K31" s="488">
        <f t="shared" si="18"/>
        <v>0</v>
      </c>
      <c r="L31" s="488">
        <f t="shared" ca="1" si="18"/>
        <v>0</v>
      </c>
      <c r="M31" s="488">
        <f t="shared" si="18"/>
        <v>0</v>
      </c>
      <c r="N31" s="488">
        <f t="shared" ca="1" si="18"/>
        <v>0</v>
      </c>
      <c r="O31" s="488">
        <f t="shared" si="18"/>
        <v>0</v>
      </c>
      <c r="P31" s="489">
        <f t="shared" si="18"/>
        <v>0</v>
      </c>
      <c r="Q31" s="489">
        <f t="shared" ca="1" si="18"/>
        <v>176244.83001614691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0.20508376872128722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0.20508376872128722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0.20508376872128722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12014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17819</v>
      </c>
      <c r="C9" s="342">
        <v>18634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3516.23</v>
      </c>
    </row>
    <row r="15" spans="1:6">
      <c r="A15" s="348" t="s">
        <v>184</v>
      </c>
      <c r="B15" s="334">
        <v>1011</v>
      </c>
    </row>
    <row r="16" spans="1:6">
      <c r="A16" s="348" t="s">
        <v>6</v>
      </c>
      <c r="B16" s="334">
        <v>1425</v>
      </c>
    </row>
    <row r="17" spans="1:6">
      <c r="A17" s="348" t="s">
        <v>7</v>
      </c>
      <c r="B17" s="334">
        <v>639</v>
      </c>
    </row>
    <row r="18" spans="1:6">
      <c r="A18" s="348" t="s">
        <v>8</v>
      </c>
      <c r="B18" s="334">
        <v>1332</v>
      </c>
    </row>
    <row r="19" spans="1:6">
      <c r="A19" s="348" t="s">
        <v>9</v>
      </c>
      <c r="B19" s="334">
        <v>1191</v>
      </c>
    </row>
    <row r="20" spans="1:6">
      <c r="A20" s="348" t="s">
        <v>10</v>
      </c>
      <c r="B20" s="334">
        <v>864</v>
      </c>
    </row>
    <row r="21" spans="1:6">
      <c r="A21" s="348" t="s">
        <v>11</v>
      </c>
      <c r="B21" s="334">
        <v>577</v>
      </c>
    </row>
    <row r="22" spans="1:6">
      <c r="A22" s="348" t="s">
        <v>12</v>
      </c>
      <c r="B22" s="334">
        <v>1660</v>
      </c>
    </row>
    <row r="23" spans="1:6">
      <c r="A23" s="348" t="s">
        <v>13</v>
      </c>
      <c r="B23" s="334">
        <v>30</v>
      </c>
    </row>
    <row r="24" spans="1:6">
      <c r="A24" s="348" t="s">
        <v>14</v>
      </c>
      <c r="B24" s="334">
        <v>2</v>
      </c>
    </row>
    <row r="25" spans="1:6">
      <c r="A25" s="348" t="s">
        <v>15</v>
      </c>
      <c r="B25" s="334">
        <v>178</v>
      </c>
    </row>
    <row r="26" spans="1:6">
      <c r="A26" s="348" t="s">
        <v>16</v>
      </c>
      <c r="B26" s="334">
        <v>186</v>
      </c>
    </row>
    <row r="27" spans="1:6">
      <c r="A27" s="348" t="s">
        <v>17</v>
      </c>
      <c r="B27" s="334">
        <v>614</v>
      </c>
    </row>
    <row r="28" spans="1:6" s="356" customFormat="1">
      <c r="A28" s="355" t="s">
        <v>18</v>
      </c>
      <c r="B28" s="355">
        <v>0</v>
      </c>
    </row>
    <row r="29" spans="1:6">
      <c r="A29" s="355" t="s">
        <v>744</v>
      </c>
      <c r="B29" s="355">
        <v>268</v>
      </c>
      <c r="C29" s="356"/>
      <c r="D29" s="356"/>
      <c r="E29" s="356"/>
      <c r="F29" s="356"/>
    </row>
    <row r="30" spans="1:6">
      <c r="A30" s="341" t="s">
        <v>745</v>
      </c>
      <c r="B30" s="341">
        <v>69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14900</v>
      </c>
    </row>
    <row r="37" spans="1:6">
      <c r="A37" s="348" t="s">
        <v>25</v>
      </c>
      <c r="B37" s="348" t="s">
        <v>28</v>
      </c>
      <c r="C37" s="334">
        <v>0</v>
      </c>
      <c r="D37" s="334">
        <v>0</v>
      </c>
      <c r="E37" s="334">
        <v>0</v>
      </c>
      <c r="F37" s="334">
        <v>0</v>
      </c>
    </row>
    <row r="38" spans="1:6">
      <c r="A38" s="348" t="s">
        <v>25</v>
      </c>
      <c r="B38" s="348" t="s">
        <v>29</v>
      </c>
      <c r="C38" s="334">
        <v>3</v>
      </c>
      <c r="D38" s="334">
        <v>431597.752392789</v>
      </c>
      <c r="E38" s="334">
        <v>3</v>
      </c>
      <c r="F38" s="334">
        <v>15399.9950631431</v>
      </c>
    </row>
    <row r="39" spans="1:6">
      <c r="A39" s="348" t="s">
        <v>30</v>
      </c>
      <c r="B39" s="348" t="s">
        <v>31</v>
      </c>
      <c r="C39" s="334">
        <v>9832</v>
      </c>
      <c r="D39" s="334">
        <v>159683262.52736601</v>
      </c>
      <c r="E39" s="334">
        <v>17650</v>
      </c>
      <c r="F39" s="334">
        <v>63562159.957710288</v>
      </c>
    </row>
    <row r="40" spans="1:6">
      <c r="A40" s="348" t="s">
        <v>30</v>
      </c>
      <c r="B40" s="348" t="s">
        <v>29</v>
      </c>
      <c r="C40" s="334">
        <v>0</v>
      </c>
      <c r="D40" s="334">
        <v>0</v>
      </c>
      <c r="E40" s="334">
        <v>0</v>
      </c>
      <c r="F40" s="334">
        <v>0</v>
      </c>
    </row>
    <row r="41" spans="1:6">
      <c r="A41" s="348" t="s">
        <v>32</v>
      </c>
      <c r="B41" s="348" t="s">
        <v>33</v>
      </c>
      <c r="C41" s="334">
        <v>100</v>
      </c>
      <c r="D41" s="334">
        <v>2592709.9789217701</v>
      </c>
      <c r="E41" s="334">
        <v>327</v>
      </c>
      <c r="F41" s="334">
        <v>18595473.811760399</v>
      </c>
    </row>
    <row r="42" spans="1:6">
      <c r="A42" s="348" t="s">
        <v>32</v>
      </c>
      <c r="B42" s="348" t="s">
        <v>34</v>
      </c>
      <c r="C42" s="334">
        <v>9</v>
      </c>
      <c r="D42" s="334">
        <v>29707146.135861799</v>
      </c>
      <c r="E42" s="334">
        <v>7</v>
      </c>
      <c r="F42" s="334">
        <v>24554751.927264899</v>
      </c>
    </row>
    <row r="43" spans="1:6">
      <c r="A43" s="348" t="s">
        <v>32</v>
      </c>
      <c r="B43" s="348" t="s">
        <v>35</v>
      </c>
      <c r="C43" s="334">
        <v>0</v>
      </c>
      <c r="D43" s="334">
        <v>0</v>
      </c>
      <c r="E43" s="334">
        <v>0</v>
      </c>
      <c r="F43" s="334">
        <v>0</v>
      </c>
    </row>
    <row r="44" spans="1:6">
      <c r="A44" s="348" t="s">
        <v>32</v>
      </c>
      <c r="B44" s="348" t="s">
        <v>36</v>
      </c>
      <c r="C44" s="334">
        <v>4</v>
      </c>
      <c r="D44" s="334">
        <v>170625.048224</v>
      </c>
      <c r="E44" s="334">
        <v>19</v>
      </c>
      <c r="F44" s="334">
        <v>720436.672981482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251160.24390738001</v>
      </c>
    </row>
    <row r="48" spans="1:6">
      <c r="A48" s="348" t="s">
        <v>32</v>
      </c>
      <c r="B48" s="348" t="s">
        <v>29</v>
      </c>
      <c r="C48" s="334">
        <v>69</v>
      </c>
      <c r="D48" s="334">
        <v>11940354.7543866</v>
      </c>
      <c r="E48" s="334">
        <v>107</v>
      </c>
      <c r="F48" s="334">
        <v>10712184.511632901</v>
      </c>
    </row>
    <row r="49" spans="1:6">
      <c r="A49" s="348" t="s">
        <v>32</v>
      </c>
      <c r="B49" s="348" t="s">
        <v>40</v>
      </c>
      <c r="C49" s="334">
        <v>0</v>
      </c>
      <c r="D49" s="334">
        <v>0</v>
      </c>
      <c r="E49" s="334">
        <v>0</v>
      </c>
      <c r="F49" s="334">
        <v>0</v>
      </c>
    </row>
    <row r="50" spans="1:6">
      <c r="A50" s="348" t="s">
        <v>32</v>
      </c>
      <c r="B50" s="348" t="s">
        <v>41</v>
      </c>
      <c r="C50" s="334">
        <v>8</v>
      </c>
      <c r="D50" s="334">
        <v>931781.84240046295</v>
      </c>
      <c r="E50" s="334">
        <v>18</v>
      </c>
      <c r="F50" s="334">
        <v>792455.73170776304</v>
      </c>
    </row>
    <row r="51" spans="1:6">
      <c r="A51" s="348" t="s">
        <v>42</v>
      </c>
      <c r="B51" s="348" t="s">
        <v>43</v>
      </c>
      <c r="C51" s="334">
        <v>0</v>
      </c>
      <c r="D51" s="334">
        <v>0</v>
      </c>
      <c r="E51" s="334">
        <v>118</v>
      </c>
      <c r="F51" s="334">
        <v>1707834.4259010099</v>
      </c>
    </row>
    <row r="52" spans="1:6">
      <c r="A52" s="348" t="s">
        <v>42</v>
      </c>
      <c r="B52" s="348" t="s">
        <v>29</v>
      </c>
      <c r="C52" s="334">
        <v>10</v>
      </c>
      <c r="D52" s="334">
        <v>1861589.2454331899</v>
      </c>
      <c r="E52" s="334">
        <v>25</v>
      </c>
      <c r="F52" s="334">
        <v>206463.11118442699</v>
      </c>
    </row>
    <row r="53" spans="1:6">
      <c r="A53" s="348" t="s">
        <v>44</v>
      </c>
      <c r="B53" s="348" t="s">
        <v>45</v>
      </c>
      <c r="C53" s="334">
        <v>239</v>
      </c>
      <c r="D53" s="334">
        <v>5505763.9422674105</v>
      </c>
      <c r="E53" s="334">
        <v>654</v>
      </c>
      <c r="F53" s="334">
        <v>2654280.27988357</v>
      </c>
    </row>
    <row r="54" spans="1:6">
      <c r="A54" s="348" t="s">
        <v>46</v>
      </c>
      <c r="B54" s="348" t="s">
        <v>47</v>
      </c>
      <c r="C54" s="334">
        <v>0</v>
      </c>
      <c r="D54" s="334">
        <v>0</v>
      </c>
      <c r="E54" s="334">
        <v>1</v>
      </c>
      <c r="F54" s="334">
        <v>2824507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82</v>
      </c>
      <c r="D57" s="334">
        <v>4932638.4891581601</v>
      </c>
      <c r="E57" s="334">
        <v>175</v>
      </c>
      <c r="F57" s="334">
        <v>4615791.7806225102</v>
      </c>
    </row>
    <row r="58" spans="1:6">
      <c r="A58" s="348" t="s">
        <v>49</v>
      </c>
      <c r="B58" s="348" t="s">
        <v>51</v>
      </c>
      <c r="C58" s="334">
        <v>35</v>
      </c>
      <c r="D58" s="334">
        <v>4292769.74479446</v>
      </c>
      <c r="E58" s="334">
        <v>65</v>
      </c>
      <c r="F58" s="334">
        <v>1785034.1770945401</v>
      </c>
    </row>
    <row r="59" spans="1:6">
      <c r="A59" s="348" t="s">
        <v>49</v>
      </c>
      <c r="B59" s="348" t="s">
        <v>52</v>
      </c>
      <c r="C59" s="334">
        <v>192</v>
      </c>
      <c r="D59" s="334">
        <v>12381768.080620499</v>
      </c>
      <c r="E59" s="334">
        <v>482</v>
      </c>
      <c r="F59" s="334">
        <v>15550318.5284702</v>
      </c>
    </row>
    <row r="60" spans="1:6">
      <c r="A60" s="348" t="s">
        <v>49</v>
      </c>
      <c r="B60" s="348" t="s">
        <v>53</v>
      </c>
      <c r="C60" s="334">
        <v>107</v>
      </c>
      <c r="D60" s="334">
        <v>4954979.8438714901</v>
      </c>
      <c r="E60" s="334">
        <v>182</v>
      </c>
      <c r="F60" s="334">
        <v>4112170.5100886198</v>
      </c>
    </row>
    <row r="61" spans="1:6">
      <c r="A61" s="348" t="s">
        <v>49</v>
      </c>
      <c r="B61" s="348" t="s">
        <v>54</v>
      </c>
      <c r="C61" s="334">
        <v>358</v>
      </c>
      <c r="D61" s="334">
        <v>14751255.1743028</v>
      </c>
      <c r="E61" s="334">
        <v>856</v>
      </c>
      <c r="F61" s="334">
        <v>8598004.3763045408</v>
      </c>
    </row>
    <row r="62" spans="1:6">
      <c r="A62" s="348" t="s">
        <v>49</v>
      </c>
      <c r="B62" s="348" t="s">
        <v>55</v>
      </c>
      <c r="C62" s="334">
        <v>31</v>
      </c>
      <c r="D62" s="334">
        <v>3729371.40818334</v>
      </c>
      <c r="E62" s="334">
        <v>27</v>
      </c>
      <c r="F62" s="334">
        <v>615386.77992333798</v>
      </c>
    </row>
    <row r="63" spans="1:6">
      <c r="A63" s="348" t="s">
        <v>49</v>
      </c>
      <c r="B63" s="348" t="s">
        <v>29</v>
      </c>
      <c r="C63" s="334">
        <v>260</v>
      </c>
      <c r="D63" s="334">
        <v>16358975.9963094</v>
      </c>
      <c r="E63" s="334">
        <v>327</v>
      </c>
      <c r="F63" s="334">
        <v>13431407.642438</v>
      </c>
    </row>
    <row r="64" spans="1:6">
      <c r="A64" s="348" t="s">
        <v>56</v>
      </c>
      <c r="B64" s="348" t="s">
        <v>57</v>
      </c>
      <c r="C64" s="334">
        <v>0</v>
      </c>
      <c r="D64" s="334">
        <v>0</v>
      </c>
      <c r="E64" s="334">
        <v>0</v>
      </c>
      <c r="F64" s="334">
        <v>0</v>
      </c>
    </row>
    <row r="65" spans="1:6">
      <c r="A65" s="348" t="s">
        <v>56</v>
      </c>
      <c r="B65" s="348" t="s">
        <v>29</v>
      </c>
      <c r="C65" s="334">
        <v>4</v>
      </c>
      <c r="D65" s="334">
        <v>136955.34819073201</v>
      </c>
      <c r="E65" s="334">
        <v>7</v>
      </c>
      <c r="F65" s="334">
        <v>51834.454629171698</v>
      </c>
    </row>
    <row r="66" spans="1:6">
      <c r="A66" s="348" t="s">
        <v>56</v>
      </c>
      <c r="B66" s="348" t="s">
        <v>58</v>
      </c>
      <c r="C66" s="334">
        <v>0</v>
      </c>
      <c r="D66" s="334">
        <v>0</v>
      </c>
      <c r="E66" s="334">
        <v>8</v>
      </c>
      <c r="F66" s="334">
        <v>91728.770719902794</v>
      </c>
    </row>
    <row r="67" spans="1:6">
      <c r="A67" s="355" t="s">
        <v>56</v>
      </c>
      <c r="B67" s="355" t="s">
        <v>59</v>
      </c>
      <c r="C67" s="334">
        <v>0</v>
      </c>
      <c r="D67" s="334">
        <v>0</v>
      </c>
      <c r="E67" s="334">
        <v>0</v>
      </c>
      <c r="F67" s="334">
        <v>0</v>
      </c>
    </row>
    <row r="68" spans="1:6">
      <c r="A68" s="341" t="s">
        <v>56</v>
      </c>
      <c r="B68" s="341" t="s">
        <v>60</v>
      </c>
      <c r="C68" s="334">
        <v>5</v>
      </c>
      <c r="D68" s="334">
        <v>210608.56591407</v>
      </c>
      <c r="E68" s="334">
        <v>39</v>
      </c>
      <c r="F68" s="334">
        <v>700118.37270836497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208914124</v>
      </c>
      <c r="E73" s="476">
        <v>211725382.5806514</v>
      </c>
    </row>
    <row r="74" spans="1:6">
      <c r="A74" s="348" t="s">
        <v>64</v>
      </c>
      <c r="B74" s="348" t="s">
        <v>657</v>
      </c>
      <c r="C74" s="1272" t="s">
        <v>659</v>
      </c>
      <c r="D74" s="476">
        <v>8551885.0225731172</v>
      </c>
      <c r="E74" s="476">
        <v>8739630.2146463357</v>
      </c>
    </row>
    <row r="75" spans="1:6">
      <c r="A75" s="348" t="s">
        <v>65</v>
      </c>
      <c r="B75" s="348" t="s">
        <v>656</v>
      </c>
      <c r="C75" s="1272" t="s">
        <v>660</v>
      </c>
      <c r="D75" s="476">
        <v>47420100</v>
      </c>
      <c r="E75" s="476">
        <v>47977212.964174509</v>
      </c>
    </row>
    <row r="76" spans="1:6">
      <c r="A76" s="348" t="s">
        <v>65</v>
      </c>
      <c r="B76" s="348" t="s">
        <v>657</v>
      </c>
      <c r="C76" s="1272" t="s">
        <v>661</v>
      </c>
      <c r="D76" s="476">
        <v>1240364.0225731167</v>
      </c>
      <c r="E76" s="476">
        <v>1251852.6743506882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723109.95485376648</v>
      </c>
      <c r="C83" s="476">
        <v>726292.53348497464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9021.2677218185781</v>
      </c>
    </row>
    <row r="92" spans="1:6">
      <c r="A92" s="341" t="s">
        <v>69</v>
      </c>
      <c r="B92" s="342">
        <v>4068.7631389951684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4495</v>
      </c>
    </row>
    <row r="98" spans="1:6">
      <c r="A98" s="348" t="s">
        <v>72</v>
      </c>
      <c r="B98" s="334">
        <v>9</v>
      </c>
    </row>
    <row r="99" spans="1:6">
      <c r="A99" s="348" t="s">
        <v>73</v>
      </c>
      <c r="B99" s="334">
        <v>209</v>
      </c>
    </row>
    <row r="100" spans="1:6">
      <c r="A100" s="348" t="s">
        <v>74</v>
      </c>
      <c r="B100" s="334">
        <v>794</v>
      </c>
    </row>
    <row r="101" spans="1:6">
      <c r="A101" s="348" t="s">
        <v>75</v>
      </c>
      <c r="B101" s="334">
        <v>166</v>
      </c>
    </row>
    <row r="102" spans="1:6">
      <c r="A102" s="348" t="s">
        <v>76</v>
      </c>
      <c r="B102" s="334">
        <v>188</v>
      </c>
    </row>
    <row r="103" spans="1:6">
      <c r="A103" s="348" t="s">
        <v>77</v>
      </c>
      <c r="B103" s="334">
        <v>538</v>
      </c>
    </row>
    <row r="104" spans="1:6">
      <c r="A104" s="348" t="s">
        <v>78</v>
      </c>
      <c r="B104" s="334">
        <v>8528</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100</v>
      </c>
      <c r="C123" s="334">
        <v>92</v>
      </c>
    </row>
    <row r="124" spans="1:6">
      <c r="A124" s="341" t="s">
        <v>89</v>
      </c>
      <c r="B124" s="334">
        <v>3</v>
      </c>
      <c r="C124" s="334">
        <v>6</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338</v>
      </c>
    </row>
    <row r="130" spans="1:6">
      <c r="A130" s="348" t="s">
        <v>295</v>
      </c>
      <c r="B130" s="334">
        <v>6</v>
      </c>
    </row>
    <row r="131" spans="1:6">
      <c r="A131" s="348" t="s">
        <v>296</v>
      </c>
      <c r="B131" s="334">
        <v>2</v>
      </c>
    </row>
    <row r="132" spans="1:6">
      <c r="A132" s="341" t="s">
        <v>297</v>
      </c>
      <c r="B132" s="342">
        <v>78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181757.65164388841</v>
      </c>
      <c r="C3" s="43" t="s">
        <v>170</v>
      </c>
      <c r="D3" s="43"/>
      <c r="E3" s="154"/>
      <c r="F3" s="43"/>
      <c r="G3" s="43"/>
      <c r="H3" s="43"/>
      <c r="I3" s="43"/>
      <c r="J3" s="43"/>
      <c r="K3" s="96"/>
    </row>
    <row r="4" spans="1:11">
      <c r="A4" s="383" t="s">
        <v>171</v>
      </c>
      <c r="B4" s="49">
        <f>IF(ISERROR('SEAP template'!B69),0,'SEAP template'!B69)</f>
        <v>13090.030860813746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0.20508376872128722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2824.5070000000001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2824.5070000000001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0.20508376872128722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579.26054033965681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63562.15995771029</v>
      </c>
      <c r="C5" s="17">
        <f>IF(ISERROR('Eigen informatie GS &amp; warmtenet'!B57),0,'Eigen informatie GS &amp; warmtenet'!B57)</f>
        <v>0</v>
      </c>
      <c r="D5" s="30">
        <f>(SUM(HH_hh_gas_kWh,HH_rest_gas_kWh)/1000)*0.902</f>
        <v>144034.30279968417</v>
      </c>
      <c r="E5" s="17">
        <f>B46*B57</f>
        <v>15433.477527798623</v>
      </c>
      <c r="F5" s="17">
        <f>B51*B62</f>
        <v>96426.101253571731</v>
      </c>
      <c r="G5" s="18"/>
      <c r="H5" s="17"/>
      <c r="I5" s="17"/>
      <c r="J5" s="17">
        <f>B50*B61+C50*C61</f>
        <v>151.61940596043047</v>
      </c>
      <c r="K5" s="17"/>
      <c r="L5" s="17"/>
      <c r="M5" s="17"/>
      <c r="N5" s="17">
        <f>B48*B59+C48*C59</f>
        <v>41775.173659574197</v>
      </c>
      <c r="O5" s="17">
        <f>B69*B70*B71</f>
        <v>681.61333333333334</v>
      </c>
      <c r="P5" s="17">
        <f>B77*B78*B79/1000-B77*B78*B79/1000/B80</f>
        <v>3451.0666666666666</v>
      </c>
    </row>
    <row r="6" spans="1:16">
      <c r="A6" s="16" t="s">
        <v>621</v>
      </c>
      <c r="B6" s="843">
        <f>kWh_PV_kleiner_dan_10kW</f>
        <v>9021.2677218185781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72583.427679528861</v>
      </c>
      <c r="C8" s="21">
        <f>C5</f>
        <v>0</v>
      </c>
      <c r="D8" s="21">
        <f>D5</f>
        <v>144034.30279968417</v>
      </c>
      <c r="E8" s="21">
        <f>E5</f>
        <v>15433.477527798623</v>
      </c>
      <c r="F8" s="21">
        <f>F5</f>
        <v>96426.101253571731</v>
      </c>
      <c r="G8" s="21"/>
      <c r="H8" s="21"/>
      <c r="I8" s="21"/>
      <c r="J8" s="21">
        <f>J5</f>
        <v>151.61940596043047</v>
      </c>
      <c r="K8" s="21"/>
      <c r="L8" s="21">
        <f>L5</f>
        <v>0</v>
      </c>
      <c r="M8" s="21">
        <f>M5</f>
        <v>0</v>
      </c>
      <c r="N8" s="21">
        <f>N5</f>
        <v>41775.173659574197</v>
      </c>
      <c r="O8" s="21">
        <f>O5</f>
        <v>681.61333333333334</v>
      </c>
      <c r="P8" s="21">
        <f>P5</f>
        <v>3451.0666666666666</v>
      </c>
    </row>
    <row r="9" spans="1:16">
      <c r="B9" s="19"/>
      <c r="C9" s="19"/>
      <c r="D9" s="258"/>
      <c r="E9" s="19"/>
      <c r="F9" s="19"/>
      <c r="G9" s="19"/>
      <c r="H9" s="19"/>
      <c r="I9" s="19"/>
      <c r="J9" s="19"/>
      <c r="K9" s="19"/>
      <c r="L9" s="19"/>
      <c r="M9" s="19"/>
      <c r="N9" s="19"/>
      <c r="O9" s="19"/>
      <c r="P9" s="19"/>
    </row>
    <row r="10" spans="1:16">
      <c r="A10" s="24" t="s">
        <v>214</v>
      </c>
      <c r="B10" s="25">
        <f ca="1">'EF ele_warmte'!B12</f>
        <v>0.20508376872128722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14885.682895226775</v>
      </c>
      <c r="C12" s="23">
        <f ca="1">C10*C8</f>
        <v>0</v>
      </c>
      <c r="D12" s="23">
        <f>D8*D10</f>
        <v>29094.929165536203</v>
      </c>
      <c r="E12" s="23">
        <f>E10*E8</f>
        <v>3503.3993988102875</v>
      </c>
      <c r="F12" s="23">
        <f>F10*F8</f>
        <v>25745.769034703655</v>
      </c>
      <c r="G12" s="23"/>
      <c r="H12" s="23"/>
      <c r="I12" s="23"/>
      <c r="J12" s="23">
        <f>J10*J8</f>
        <v>53.673269709992383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4495</v>
      </c>
      <c r="C18" s="166" t="s">
        <v>111</v>
      </c>
      <c r="D18" s="228"/>
      <c r="E18" s="15"/>
    </row>
    <row r="19" spans="1:7">
      <c r="A19" s="171" t="s">
        <v>72</v>
      </c>
      <c r="B19" s="37">
        <f>aantalw2001_ander</f>
        <v>9</v>
      </c>
      <c r="C19" s="166" t="s">
        <v>111</v>
      </c>
      <c r="D19" s="229"/>
      <c r="E19" s="15"/>
    </row>
    <row r="20" spans="1:7">
      <c r="A20" s="171" t="s">
        <v>73</v>
      </c>
      <c r="B20" s="37">
        <f>aantalw2001_propaan</f>
        <v>209</v>
      </c>
      <c r="C20" s="167">
        <f>IF(ISERROR(B20/SUM($B$20,$B$21,$B$22)*100),0,B20/SUM($B$20,$B$21,$B$22)*100)</f>
        <v>17.878528656971771</v>
      </c>
      <c r="D20" s="229"/>
      <c r="E20" s="15"/>
    </row>
    <row r="21" spans="1:7">
      <c r="A21" s="171" t="s">
        <v>74</v>
      </c>
      <c r="B21" s="37">
        <f>aantalw2001_elektriciteit</f>
        <v>794</v>
      </c>
      <c r="C21" s="167">
        <f>IF(ISERROR(B21/SUM($B$20,$B$21,$B$22)*100),0,B21/SUM($B$20,$B$21,$B$22)*100)</f>
        <v>67.921300256629607</v>
      </c>
      <c r="D21" s="229"/>
      <c r="E21" s="15"/>
    </row>
    <row r="22" spans="1:7">
      <c r="A22" s="171" t="s">
        <v>75</v>
      </c>
      <c r="B22" s="37">
        <f>aantalw2001_hout</f>
        <v>166</v>
      </c>
      <c r="C22" s="167">
        <f>IF(ISERROR(B22/SUM($B$20,$B$21,$B$22)*100),0,B22/SUM($B$20,$B$21,$B$22)*100)</f>
        <v>14.20017108639863</v>
      </c>
      <c r="D22" s="229"/>
      <c r="E22" s="15"/>
    </row>
    <row r="23" spans="1:7">
      <c r="A23" s="171" t="s">
        <v>76</v>
      </c>
      <c r="B23" s="37">
        <f>aantalw2001_niet_gespec</f>
        <v>188</v>
      </c>
      <c r="C23" s="166" t="s">
        <v>111</v>
      </c>
      <c r="D23" s="228"/>
      <c r="E23" s="15"/>
    </row>
    <row r="24" spans="1:7">
      <c r="A24" s="171" t="s">
        <v>77</v>
      </c>
      <c r="B24" s="37">
        <f>aantalw2001_steenkool</f>
        <v>538</v>
      </c>
      <c r="C24" s="166" t="s">
        <v>111</v>
      </c>
      <c r="D24" s="229"/>
      <c r="E24" s="15"/>
    </row>
    <row r="25" spans="1:7">
      <c r="A25" s="171" t="s">
        <v>78</v>
      </c>
      <c r="B25" s="37">
        <f>aantalw2001_stookolie</f>
        <v>8528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794</v>
      </c>
      <c r="B28" s="37">
        <f>aantalHuishoudens2011</f>
        <v>17819</v>
      </c>
      <c r="C28" s="36"/>
      <c r="D28" s="228"/>
    </row>
    <row r="29" spans="1:7" s="15" customFormat="1">
      <c r="A29" s="230" t="s">
        <v>795</v>
      </c>
      <c r="B29" s="37">
        <f>SUM(HH_hh_gas_aantal,HH_rest_gas_aantal)</f>
        <v>9832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9832</v>
      </c>
      <c r="C32" s="167">
        <f>IF(ISERROR(B32/SUM($B$32,$B$34,$B$35,$B$36,$B$38,$B$39)*100),0,B32/SUM($B$32,$B$34,$B$35,$B$36,$B$38,$B$39)*100)</f>
        <v>55.743281551196276</v>
      </c>
      <c r="D32" s="233"/>
      <c r="G32" s="15"/>
    </row>
    <row r="33" spans="1:7">
      <c r="A33" s="171" t="s">
        <v>72</v>
      </c>
      <c r="B33" s="34" t="s">
        <v>111</v>
      </c>
      <c r="C33" s="167"/>
      <c r="D33" s="233"/>
      <c r="G33" s="15"/>
    </row>
    <row r="34" spans="1:7">
      <c r="A34" s="171" t="s">
        <v>73</v>
      </c>
      <c r="B34" s="33">
        <f>IF((($B$28-$B$32-$B$39-$B$77-$B$38)*C20/100)&lt;0,0,($B$28-$B$32-$B$39-$B$77-$B$38)*C20/100)</f>
        <v>728.90761334473905</v>
      </c>
      <c r="C34" s="167">
        <f>IF(ISERROR(B34/SUM($B$32,$B$34,$B$35,$B$36,$B$38,$B$39)*100),0,B34/SUM($B$32,$B$34,$B$35,$B$36,$B$38,$B$39)*100)</f>
        <v>4.132597875863131</v>
      </c>
      <c r="D34" s="233"/>
      <c r="G34" s="15"/>
    </row>
    <row r="35" spans="1:7">
      <c r="A35" s="171" t="s">
        <v>74</v>
      </c>
      <c r="B35" s="33">
        <f>IF((($B$28-$B$32-$B$39-$B$77-$B$38)*C21/100)&lt;0,0,($B$28-$B$32-$B$39-$B$77-$B$38)*C21/100)</f>
        <v>2769.1514114627889</v>
      </c>
      <c r="C35" s="167">
        <f>IF(ISERROR(B35/SUM($B$32,$B$34,$B$35,$B$36,$B$38,$B$39)*100),0,B35/SUM($B$32,$B$34,$B$35,$B$36,$B$38,$B$39)*100)</f>
        <v>15.699917289164242</v>
      </c>
      <c r="D35" s="233"/>
      <c r="G35" s="15"/>
    </row>
    <row r="36" spans="1:7">
      <c r="A36" s="171" t="s">
        <v>75</v>
      </c>
      <c r="B36" s="33">
        <f>IF((($B$28-$B$32-$B$39-$B$77-$B$38)*C22/100)&lt;0,0,($B$28-$B$32-$B$39-$B$77-$B$38)*C22/100)</f>
        <v>578.94097519247214</v>
      </c>
      <c r="C36" s="167">
        <f>IF(ISERROR(B36/SUM($B$32,$B$34,$B$35,$B$36,$B$38,$B$39)*100),0,B36/SUM($B$32,$B$34,$B$35,$B$36,$B$38,$B$39)*100)</f>
        <v>3.2823504659965539</v>
      </c>
      <c r="D36" s="233"/>
      <c r="G36" s="15"/>
    </row>
    <row r="37" spans="1:7">
      <c r="A37" s="171" t="s">
        <v>76</v>
      </c>
      <c r="B37" s="34" t="s">
        <v>111</v>
      </c>
      <c r="C37" s="167"/>
      <c r="D37" s="173"/>
      <c r="G37" s="15"/>
    </row>
    <row r="38" spans="1:7">
      <c r="A38" s="171" t="s">
        <v>77</v>
      </c>
      <c r="B38" s="33">
        <f>IF((B24-(B29-B18)*0.1)&lt;0,0,B24-(B29-B18)*0.1)</f>
        <v>4.2999999999999545</v>
      </c>
      <c r="C38" s="167">
        <f>IF(ISERROR(B38/SUM($B$32,$B$34,$B$35,$B$36,$B$38,$B$39)*100),0,B38/SUM($B$32,$B$34,$B$35,$B$36,$B$38,$B$39)*100)</f>
        <v>2.4379181313073785E-2</v>
      </c>
      <c r="D38" s="234"/>
      <c r="G38" s="15"/>
    </row>
    <row r="39" spans="1:7">
      <c r="A39" s="171" t="s">
        <v>78</v>
      </c>
      <c r="B39" s="33">
        <f>IF((B25-(B29-B18))&lt;0,0,B25-(B29-B18)*0.9)</f>
        <v>3724.7</v>
      </c>
      <c r="C39" s="167">
        <f>IF(ISERROR(B39/SUM($B$32,$B$34,$B$35,$B$36,$B$38,$B$39)*100),0,B39/SUM($B$32,$B$34,$B$35,$B$36,$B$38,$B$39)*100)</f>
        <v>21.11747363646672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9832</v>
      </c>
      <c r="C44" s="34" t="s">
        <v>111</v>
      </c>
      <c r="D44" s="174"/>
    </row>
    <row r="45" spans="1:7">
      <c r="A45" s="171" t="s">
        <v>72</v>
      </c>
      <c r="B45" s="33" t="str">
        <f t="shared" si="0"/>
        <v>-</v>
      </c>
      <c r="C45" s="34" t="s">
        <v>111</v>
      </c>
      <c r="D45" s="174"/>
    </row>
    <row r="46" spans="1:7">
      <c r="A46" s="171" t="s">
        <v>73</v>
      </c>
      <c r="B46" s="33">
        <f t="shared" si="0"/>
        <v>728.90761334473905</v>
      </c>
      <c r="C46" s="34" t="s">
        <v>111</v>
      </c>
      <c r="D46" s="174"/>
    </row>
    <row r="47" spans="1:7">
      <c r="A47" s="171" t="s">
        <v>74</v>
      </c>
      <c r="B47" s="33">
        <f t="shared" si="0"/>
        <v>2769.1514114627889</v>
      </c>
      <c r="C47" s="34" t="s">
        <v>111</v>
      </c>
      <c r="D47" s="174"/>
    </row>
    <row r="48" spans="1:7">
      <c r="A48" s="171" t="s">
        <v>75</v>
      </c>
      <c r="B48" s="33">
        <f t="shared" si="0"/>
        <v>578.94097519247214</v>
      </c>
      <c r="C48" s="33">
        <f>B48*10</f>
        <v>5789.4097519247216</v>
      </c>
      <c r="D48" s="234"/>
    </row>
    <row r="49" spans="1:6">
      <c r="A49" s="171" t="s">
        <v>76</v>
      </c>
      <c r="B49" s="33" t="str">
        <f t="shared" si="0"/>
        <v>-</v>
      </c>
      <c r="C49" s="34" t="s">
        <v>111</v>
      </c>
      <c r="D49" s="234"/>
    </row>
    <row r="50" spans="1:6">
      <c r="A50" s="171" t="s">
        <v>77</v>
      </c>
      <c r="B50" s="33">
        <f t="shared" si="0"/>
        <v>4.2999999999999545</v>
      </c>
      <c r="C50" s="33">
        <f>B50*2</f>
        <v>8.5999999999999091</v>
      </c>
      <c r="D50" s="234"/>
    </row>
    <row r="51" spans="1:6">
      <c r="A51" s="171" t="s">
        <v>78</v>
      </c>
      <c r="B51" s="33">
        <f t="shared" si="0"/>
        <v>3724.7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48708.113794941761</v>
      </c>
      <c r="C5" s="17">
        <f>IF(ISERROR('Eigen informatie GS &amp; warmtenet'!B58),0,'Eigen informatie GS &amp; warmtenet'!B58)</f>
        <v>0</v>
      </c>
      <c r="D5" s="30">
        <f>SUM(D6:D12)</f>
        <v>55384.386380990618</v>
      </c>
      <c r="E5" s="17">
        <f>SUM(E6:E12)</f>
        <v>804.63741980436555</v>
      </c>
      <c r="F5" s="17">
        <f>SUM(F6:F12)</f>
        <v>8711.2413126157917</v>
      </c>
      <c r="G5" s="18"/>
      <c r="H5" s="17"/>
      <c r="I5" s="17"/>
      <c r="J5" s="17">
        <f>SUM(J6:J12)</f>
        <v>0.13271523872125515</v>
      </c>
      <c r="K5" s="17"/>
      <c r="L5" s="17"/>
      <c r="M5" s="17"/>
      <c r="N5" s="17">
        <f>SUM(N6:N12)</f>
        <v>5280.4778974689416</v>
      </c>
      <c r="O5" s="17">
        <f>B38*B39*B40</f>
        <v>9.3800000000000008</v>
      </c>
      <c r="P5" s="17">
        <f>B46*B47*B48/1000-B46*B47*B48/1000/B49</f>
        <v>38.133333333333333</v>
      </c>
      <c r="R5" s="32"/>
    </row>
    <row r="6" spans="1:18">
      <c r="A6" s="32" t="s">
        <v>54</v>
      </c>
      <c r="B6" s="37">
        <f>B26</f>
        <v>8598.0043763045414</v>
      </c>
      <c r="C6" s="33"/>
      <c r="D6" s="37">
        <f>IF(ISERROR(TER_kantoor_gas_kWh/1000),0,TER_kantoor_gas_kWh/1000)*0.902</f>
        <v>13305.632167221125</v>
      </c>
      <c r="E6" s="33">
        <f>$C$26*'E Balans VL '!I12/100/3.6*1000000</f>
        <v>5.3889431779221779E-2</v>
      </c>
      <c r="F6" s="33">
        <f>$C$26*('E Balans VL '!L12+'E Balans VL '!N12)/100/3.6*1000000</f>
        <v>1292.0398066026419</v>
      </c>
      <c r="G6" s="34"/>
      <c r="H6" s="33"/>
      <c r="I6" s="33"/>
      <c r="J6" s="33">
        <f>$C$26*('E Balans VL '!D12+'E Balans VL '!E12)/100/3.6*1000000</f>
        <v>0</v>
      </c>
      <c r="K6" s="33"/>
      <c r="L6" s="33"/>
      <c r="M6" s="33"/>
      <c r="N6" s="33">
        <f>$C$26*'E Balans VL '!Y12/100/3.6*1000000</f>
        <v>8.2227163918852977</v>
      </c>
      <c r="O6" s="33"/>
      <c r="P6" s="33"/>
      <c r="R6" s="32"/>
    </row>
    <row r="7" spans="1:18">
      <c r="A7" s="32" t="s">
        <v>53</v>
      </c>
      <c r="B7" s="37">
        <f t="shared" ref="B7:B12" si="0">B27</f>
        <v>4112.1705100886202</v>
      </c>
      <c r="C7" s="33"/>
      <c r="D7" s="37">
        <f>IF(ISERROR(TER_horeca_gas_kWh/1000),0,TER_horeca_gas_kWh/1000)*0.902</f>
        <v>4469.3918191720841</v>
      </c>
      <c r="E7" s="33">
        <f>$C$27*'E Balans VL '!I9/100/3.6*1000000</f>
        <v>58.885596747619026</v>
      </c>
      <c r="F7" s="33">
        <f>$C$27*('E Balans VL '!L9+'E Balans VL '!N9)/100/3.6*1000000</f>
        <v>520.73641118569731</v>
      </c>
      <c r="G7" s="34"/>
      <c r="H7" s="33"/>
      <c r="I7" s="33"/>
      <c r="J7" s="33">
        <f>$C$27*('E Balans VL '!D9+'E Balans VL '!E9)/100/3.6*1000000</f>
        <v>0</v>
      </c>
      <c r="K7" s="33"/>
      <c r="L7" s="33"/>
      <c r="M7" s="33"/>
      <c r="N7" s="33">
        <f>$C$27*'E Balans VL '!Y9/100/3.6*1000000</f>
        <v>1.1821583560734337</v>
      </c>
      <c r="O7" s="33"/>
      <c r="P7" s="33"/>
      <c r="R7" s="32"/>
    </row>
    <row r="8" spans="1:18">
      <c r="A8" s="6" t="s">
        <v>52</v>
      </c>
      <c r="B8" s="37">
        <f t="shared" si="0"/>
        <v>15550.318528470199</v>
      </c>
      <c r="C8" s="33"/>
      <c r="D8" s="37">
        <f>IF(ISERROR(TER_handel_gas_kWh/1000),0,TER_handel_gas_kWh/1000)*0.902</f>
        <v>11168.35480871969</v>
      </c>
      <c r="E8" s="33">
        <f>$C$28*'E Balans VL '!I13/100/3.6*1000000</f>
        <v>564.00813544824371</v>
      </c>
      <c r="F8" s="33">
        <f>$C$28*('E Balans VL '!L13+'E Balans VL '!N13)/100/3.6*1000000</f>
        <v>2995.1488055692635</v>
      </c>
      <c r="G8" s="34"/>
      <c r="H8" s="33"/>
      <c r="I8" s="33"/>
      <c r="J8" s="33">
        <f>$C$28*('E Balans VL '!D13+'E Balans VL '!E13)/100/3.6*1000000</f>
        <v>0</v>
      </c>
      <c r="K8" s="33"/>
      <c r="L8" s="33"/>
      <c r="M8" s="33"/>
      <c r="N8" s="33">
        <f>$C$28*'E Balans VL '!Y13/100/3.6*1000000</f>
        <v>21.540769130652002</v>
      </c>
      <c r="O8" s="33"/>
      <c r="P8" s="33"/>
      <c r="R8" s="32"/>
    </row>
    <row r="9" spans="1:18">
      <c r="A9" s="32" t="s">
        <v>51</v>
      </c>
      <c r="B9" s="37">
        <f t="shared" si="0"/>
        <v>1785.0341770945402</v>
      </c>
      <c r="C9" s="33"/>
      <c r="D9" s="37">
        <f>IF(ISERROR(TER_gezond_gas_kWh/1000),0,TER_gezond_gas_kWh/1000)*0.902</f>
        <v>3872.0783098046031</v>
      </c>
      <c r="E9" s="33">
        <f>$C$29*'E Balans VL '!I10/100/3.6*1000000</f>
        <v>0.11176076351465217</v>
      </c>
      <c r="F9" s="33">
        <f>$C$29*('E Balans VL '!L10+'E Balans VL '!N10)/100/3.6*1000000</f>
        <v>265.17226191886954</v>
      </c>
      <c r="G9" s="34"/>
      <c r="H9" s="33"/>
      <c r="I9" s="33"/>
      <c r="J9" s="33">
        <f>$C$29*('E Balans VL '!D10+'E Balans VL '!E10)/100/3.6*1000000</f>
        <v>0</v>
      </c>
      <c r="K9" s="33"/>
      <c r="L9" s="33"/>
      <c r="M9" s="33"/>
      <c r="N9" s="33">
        <f>$C$29*'E Balans VL '!Y10/100/3.6*1000000</f>
        <v>27.611080892373245</v>
      </c>
      <c r="O9" s="33"/>
      <c r="P9" s="33"/>
      <c r="R9" s="32"/>
    </row>
    <row r="10" spans="1:18">
      <c r="A10" s="32" t="s">
        <v>50</v>
      </c>
      <c r="B10" s="37">
        <f t="shared" si="0"/>
        <v>4615.7917806225105</v>
      </c>
      <c r="C10" s="33"/>
      <c r="D10" s="37">
        <f>IF(ISERROR(TER_ander_gas_kWh/1000),0,TER_ander_gas_kWh/1000)*0.902</f>
        <v>4449.2399172206606</v>
      </c>
      <c r="E10" s="33">
        <f>$C$30*'E Balans VL '!I14/100/3.6*1000000</f>
        <v>5.5018588619738447</v>
      </c>
      <c r="F10" s="33">
        <f>$C$30*('E Balans VL '!L14+'E Balans VL '!N14)/100/3.6*1000000</f>
        <v>1207.6963317962066</v>
      </c>
      <c r="G10" s="34"/>
      <c r="H10" s="33"/>
      <c r="I10" s="33"/>
      <c r="J10" s="33">
        <f>$C$30*('E Balans VL '!D14+'E Balans VL '!E14)/100/3.6*1000000</f>
        <v>0.10019074615312899</v>
      </c>
      <c r="K10" s="33"/>
      <c r="L10" s="33"/>
      <c r="M10" s="33"/>
      <c r="N10" s="33">
        <f>$C$30*'E Balans VL '!Y14/100/3.6*1000000</f>
        <v>3919.6174332696037</v>
      </c>
      <c r="O10" s="33"/>
      <c r="P10" s="33"/>
      <c r="R10" s="32"/>
    </row>
    <row r="11" spans="1:18">
      <c r="A11" s="32" t="s">
        <v>55</v>
      </c>
      <c r="B11" s="37">
        <f t="shared" si="0"/>
        <v>615.38677992333794</v>
      </c>
      <c r="C11" s="33"/>
      <c r="D11" s="37">
        <f>IF(ISERROR(TER_onderwijs_gas_kWh/1000),0,TER_onderwijs_gas_kWh/1000)*0.902</f>
        <v>3363.8930101813726</v>
      </c>
      <c r="E11" s="33">
        <f>$C$31*'E Balans VL '!I11/100/3.6*1000000</f>
        <v>9.2851953343836069</v>
      </c>
      <c r="F11" s="33">
        <f>$C$31*('E Balans VL '!L11+'E Balans VL '!N11)/100/3.6*1000000</f>
        <v>107.82559493884992</v>
      </c>
      <c r="G11" s="34"/>
      <c r="H11" s="33"/>
      <c r="I11" s="33"/>
      <c r="J11" s="33">
        <f>$C$31*('E Balans VL '!D11+'E Balans VL '!E11)/100/3.6*1000000</f>
        <v>0</v>
      </c>
      <c r="K11" s="33"/>
      <c r="L11" s="33"/>
      <c r="M11" s="33"/>
      <c r="N11" s="33">
        <f>$C$31*'E Balans VL '!Y11/100/3.6*1000000</f>
        <v>1.7317451821888854</v>
      </c>
      <c r="O11" s="33"/>
      <c r="P11" s="33"/>
      <c r="R11" s="32"/>
    </row>
    <row r="12" spans="1:18">
      <c r="A12" s="32" t="s">
        <v>260</v>
      </c>
      <c r="B12" s="37">
        <f t="shared" si="0"/>
        <v>13431.407642438</v>
      </c>
      <c r="C12" s="33"/>
      <c r="D12" s="37">
        <f>IF(ISERROR(TER_rest_gas_kWh/1000),0,TER_rest_gas_kWh/1000)*0.902</f>
        <v>14755.79634867108</v>
      </c>
      <c r="E12" s="33">
        <f>$C$32*'E Balans VL '!I8/100/3.6*1000000</f>
        <v>166.79098321685149</v>
      </c>
      <c r="F12" s="33">
        <f>$C$32*('E Balans VL '!L8+'E Balans VL '!N8)/100/3.6*1000000</f>
        <v>2322.6221006042638</v>
      </c>
      <c r="G12" s="34"/>
      <c r="H12" s="33"/>
      <c r="I12" s="33"/>
      <c r="J12" s="33">
        <f>$C$32*('E Balans VL '!D8+'E Balans VL '!E8)/100/3.6*1000000</f>
        <v>3.2524492568126152E-2</v>
      </c>
      <c r="K12" s="33"/>
      <c r="L12" s="33"/>
      <c r="M12" s="33"/>
      <c r="N12" s="33">
        <f>$C$32*'E Balans VL '!Y8/100/3.6*1000000</f>
        <v>1300.5719942461656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48708.113794941761</v>
      </c>
      <c r="C16" s="21">
        <f t="shared" ca="1" si="1"/>
        <v>0</v>
      </c>
      <c r="D16" s="21">
        <f t="shared" ca="1" si="1"/>
        <v>55384.386380990618</v>
      </c>
      <c r="E16" s="21">
        <f t="shared" si="1"/>
        <v>804.63741980436555</v>
      </c>
      <c r="F16" s="21">
        <f t="shared" ca="1" si="1"/>
        <v>8711.2413126157917</v>
      </c>
      <c r="G16" s="21">
        <f t="shared" si="1"/>
        <v>0</v>
      </c>
      <c r="H16" s="21">
        <f t="shared" si="1"/>
        <v>0</v>
      </c>
      <c r="I16" s="21">
        <f t="shared" si="1"/>
        <v>0</v>
      </c>
      <c r="J16" s="21">
        <f t="shared" si="1"/>
        <v>0.13271523872125515</v>
      </c>
      <c r="K16" s="21">
        <f t="shared" si="1"/>
        <v>0</v>
      </c>
      <c r="L16" s="21">
        <f t="shared" ca="1" si="1"/>
        <v>0</v>
      </c>
      <c r="M16" s="21">
        <f t="shared" si="1"/>
        <v>0</v>
      </c>
      <c r="N16" s="21">
        <f t="shared" ca="1" si="1"/>
        <v>5280.4778974689416</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0.20508376872128722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9989.2435443719751</v>
      </c>
      <c r="C20" s="23">
        <f t="shared" ref="C20:P20" ca="1" si="2">C16*C18</f>
        <v>0</v>
      </c>
      <c r="D20" s="23">
        <f t="shared" ca="1" si="2"/>
        <v>11187.646048960105</v>
      </c>
      <c r="E20" s="23">
        <f t="shared" si="2"/>
        <v>182.65269429559098</v>
      </c>
      <c r="F20" s="23">
        <f t="shared" ca="1" si="2"/>
        <v>2325.9014304684165</v>
      </c>
      <c r="G20" s="23">
        <f t="shared" si="2"/>
        <v>0</v>
      </c>
      <c r="H20" s="23">
        <f t="shared" si="2"/>
        <v>0</v>
      </c>
      <c r="I20" s="23">
        <f t="shared" si="2"/>
        <v>0</v>
      </c>
      <c r="J20" s="23">
        <f t="shared" si="2"/>
        <v>4.6981194507324318E-2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8598.0043763045414</v>
      </c>
      <c r="C26" s="39">
        <f>IF(ISERROR(B26*3.6/1000000/'E Balans VL '!Z12*100),0,B26*3.6/1000000/'E Balans VL '!Z12*100)</f>
        <v>0.18174819217596211</v>
      </c>
      <c r="D26" s="237" t="s">
        <v>754</v>
      </c>
      <c r="F26" s="6"/>
    </row>
    <row r="27" spans="1:18">
      <c r="A27" s="231" t="s">
        <v>53</v>
      </c>
      <c r="B27" s="33">
        <f>IF(ISERROR(TER_horeca_ele_kWh/1000),0,TER_horeca_ele_kWh/1000)</f>
        <v>4112.1705100886202</v>
      </c>
      <c r="C27" s="39">
        <f>IF(ISERROR(B27*3.6/1000000/'E Balans VL '!Z9*100),0,B27*3.6/1000000/'E Balans VL '!Z9*100)</f>
        <v>0.3241608686260905</v>
      </c>
      <c r="D27" s="237" t="s">
        <v>754</v>
      </c>
      <c r="F27" s="6"/>
    </row>
    <row r="28" spans="1:18">
      <c r="A28" s="171" t="s">
        <v>52</v>
      </c>
      <c r="B28" s="33">
        <f>IF(ISERROR(TER_handel_ele_kWh/1000),0,TER_handel_ele_kWh/1000)</f>
        <v>15550.318528470199</v>
      </c>
      <c r="C28" s="39">
        <f>IF(ISERROR(B28*3.6/1000000/'E Balans VL '!Z13*100),0,B28*3.6/1000000/'E Balans VL '!Z13*100)</f>
        <v>0.45133307402358191</v>
      </c>
      <c r="D28" s="237" t="s">
        <v>754</v>
      </c>
      <c r="F28" s="6"/>
    </row>
    <row r="29" spans="1:18">
      <c r="A29" s="231" t="s">
        <v>51</v>
      </c>
      <c r="B29" s="33">
        <f>IF(ISERROR(TER_gezond_ele_kWh/1000),0,TER_gezond_ele_kWh/1000)</f>
        <v>1785.0341770945402</v>
      </c>
      <c r="C29" s="39">
        <f>IF(ISERROR(B29*3.6/1000000/'E Balans VL '!Z10*100),0,B29*3.6/1000000/'E Balans VL '!Z10*100)</f>
        <v>0.187993409882941</v>
      </c>
      <c r="D29" s="237" t="s">
        <v>754</v>
      </c>
      <c r="F29" s="6"/>
    </row>
    <row r="30" spans="1:18">
      <c r="A30" s="231" t="s">
        <v>50</v>
      </c>
      <c r="B30" s="33">
        <f>IF(ISERROR(TER_ander_ele_kWh/1000),0,TER_ander_ele_kWh/1000)</f>
        <v>4615.7917806225105</v>
      </c>
      <c r="C30" s="39">
        <f>IF(ISERROR(B30*3.6/1000000/'E Balans VL '!Z14*100),0,B30*3.6/1000000/'E Balans VL '!Z14*100)</f>
        <v>0.34046180428370409</v>
      </c>
      <c r="D30" s="237" t="s">
        <v>754</v>
      </c>
      <c r="F30" s="6"/>
    </row>
    <row r="31" spans="1:18">
      <c r="A31" s="231" t="s">
        <v>55</v>
      </c>
      <c r="B31" s="33">
        <f>IF(ISERROR(TER_onderwijs_ele_kWh/1000),0,TER_onderwijs_ele_kWh/1000)</f>
        <v>615.38677992333794</v>
      </c>
      <c r="C31" s="39">
        <f>IF(ISERROR(B31*3.6/1000000/'E Balans VL '!Z11*100),0,B31*3.6/1000000/'E Balans VL '!Z11*100)</f>
        <v>0.15282936386938334</v>
      </c>
      <c r="D31" s="237" t="s">
        <v>754</v>
      </c>
    </row>
    <row r="32" spans="1:18">
      <c r="A32" s="231" t="s">
        <v>260</v>
      </c>
      <c r="B32" s="33">
        <f>IF(ISERROR(TER_rest_ele_kWh/1000),0,TER_rest_ele_kWh/1000)</f>
        <v>13431.407642438</v>
      </c>
      <c r="C32" s="39">
        <f>IF(ISERROR(B32*3.6/1000000/'E Balans VL '!Z8*100),0,B32*3.6/1000000/'E Balans VL '!Z8*100)</f>
        <v>0.11052265651592143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55626.462899254824</v>
      </c>
      <c r="C5" s="17">
        <f>IF(ISERROR('Eigen informatie GS &amp; warmtenet'!B59),0,'Eigen informatie GS &amp; warmtenet'!B59)</f>
        <v>0</v>
      </c>
      <c r="D5" s="30">
        <f>SUM(D6:D15)</f>
        <v>40899.041219334758</v>
      </c>
      <c r="E5" s="17">
        <f>SUM(E6:E15)</f>
        <v>6096.4056317388086</v>
      </c>
      <c r="F5" s="17">
        <f>SUM(F6:F15)</f>
        <v>17451.63490340727</v>
      </c>
      <c r="G5" s="18"/>
      <c r="H5" s="17"/>
      <c r="I5" s="17"/>
      <c r="J5" s="17">
        <f>SUM(J6:J15)</f>
        <v>38.388261142488908</v>
      </c>
      <c r="K5" s="17"/>
      <c r="L5" s="17"/>
      <c r="M5" s="17"/>
      <c r="N5" s="17">
        <f>SUM(N6:N15)</f>
        <v>9890.5411586951705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720.43667298148205</v>
      </c>
      <c r="C8" s="33"/>
      <c r="D8" s="37">
        <f>IF( ISERROR(IND_metaal_Gas_kWH/1000),0,IND_metaal_Gas_kWH/1000)*0.902</f>
        <v>153.903793498048</v>
      </c>
      <c r="E8" s="33">
        <f>C30*'E Balans VL '!I18/100/3.6*1000000</f>
        <v>6.6237194037088409</v>
      </c>
      <c r="F8" s="33">
        <f>C30*'E Balans VL '!L18/100/3.6*1000000+C30*'E Balans VL '!N18/100/3.6*1000000</f>
        <v>67.552974160870377</v>
      </c>
      <c r="G8" s="34"/>
      <c r="H8" s="33"/>
      <c r="I8" s="33"/>
      <c r="J8" s="40">
        <f>C30*'E Balans VL '!D18/100/3.6*1000000+C30*'E Balans VL '!E18/100/3.6*1000000</f>
        <v>0</v>
      </c>
      <c r="K8" s="33"/>
      <c r="L8" s="33"/>
      <c r="M8" s="33"/>
      <c r="N8" s="33">
        <f>C30*'E Balans VL '!Y18/100/3.6*1000000</f>
        <v>10.278219711819167</v>
      </c>
      <c r="O8" s="33"/>
      <c r="P8" s="33"/>
      <c r="R8" s="32"/>
    </row>
    <row r="9" spans="1:18">
      <c r="A9" s="6" t="s">
        <v>33</v>
      </c>
      <c r="B9" s="37">
        <f t="shared" si="0"/>
        <v>18595.473811760399</v>
      </c>
      <c r="C9" s="33"/>
      <c r="D9" s="37">
        <f>IF( ISERROR(IND_andere_gas_kWh/1000),0,IND_andere_gas_kWh/1000)*0.902</f>
        <v>2338.6244009874367</v>
      </c>
      <c r="E9" s="33">
        <f>C31*'E Balans VL '!I19/100/3.6*1000000</f>
        <v>5435.8190063537077</v>
      </c>
      <c r="F9" s="33">
        <f>C31*'E Balans VL '!L19/100/3.6*1000000+C31*'E Balans VL '!N19/100/3.6*1000000</f>
        <v>14942.870755783182</v>
      </c>
      <c r="G9" s="34"/>
      <c r="H9" s="33"/>
      <c r="I9" s="33"/>
      <c r="J9" s="40">
        <f>C31*'E Balans VL '!D19/100/3.6*1000000+C31*'E Balans VL '!E19/100/3.6*1000000</f>
        <v>0</v>
      </c>
      <c r="K9" s="33"/>
      <c r="L9" s="33"/>
      <c r="M9" s="33"/>
      <c r="N9" s="33">
        <f>C31*'E Balans VL '!Y19/100/3.6*1000000</f>
        <v>6144.2329427572085</v>
      </c>
      <c r="O9" s="33"/>
      <c r="P9" s="33"/>
      <c r="R9" s="32"/>
    </row>
    <row r="10" spans="1:18">
      <c r="A10" s="6" t="s">
        <v>41</v>
      </c>
      <c r="B10" s="37">
        <f t="shared" si="0"/>
        <v>792.45573170776299</v>
      </c>
      <c r="C10" s="33"/>
      <c r="D10" s="37">
        <f>IF( ISERROR(IND_voed_gas_kWh/1000),0,IND_voed_gas_kWh/1000)*0.902</f>
        <v>840.46722184521752</v>
      </c>
      <c r="E10" s="33">
        <f>C32*'E Balans VL '!I20/100/3.6*1000000</f>
        <v>1.6764523875994204</v>
      </c>
      <c r="F10" s="33">
        <f>C32*'E Balans VL '!L20/100/3.6*1000000+C32*'E Balans VL '!N20/100/3.6*1000000</f>
        <v>50.385144891772171</v>
      </c>
      <c r="G10" s="34"/>
      <c r="H10" s="33"/>
      <c r="I10" s="33"/>
      <c r="J10" s="40">
        <f>C32*'E Balans VL '!D20/100/3.6*1000000+C32*'E Balans VL '!E20/100/3.6*1000000</f>
        <v>0</v>
      </c>
      <c r="K10" s="33"/>
      <c r="L10" s="33"/>
      <c r="M10" s="33"/>
      <c r="N10" s="33">
        <f>C32*'E Balans VL '!Y20/100/3.6*1000000</f>
        <v>54.687265632078095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251.16024390737999</v>
      </c>
      <c r="C13" s="33"/>
      <c r="D13" s="37">
        <f>IF( ISERROR(IND_papier_gas_kWh/1000),0,IND_papier_gas_kWh/1000)*0.902</f>
        <v>0</v>
      </c>
      <c r="E13" s="33">
        <f>C35*'E Balans VL '!I23/100/3.6*1000000</f>
        <v>0.35633894620269535</v>
      </c>
      <c r="F13" s="33">
        <f>C35*'E Balans VL '!L23/100/3.6*1000000+C35*'E Balans VL '!N23/100/3.6*1000000</f>
        <v>6.1317659771873787</v>
      </c>
      <c r="G13" s="34"/>
      <c r="H13" s="33"/>
      <c r="I13" s="33"/>
      <c r="J13" s="40">
        <f>C35*'E Balans VL '!D23/100/3.6*1000000+C35*'E Balans VL '!E23/100/3.6*1000000</f>
        <v>3.8844289756338829E-2</v>
      </c>
      <c r="K13" s="33"/>
      <c r="L13" s="33"/>
      <c r="M13" s="33"/>
      <c r="N13" s="33">
        <f>C35*'E Balans VL '!Y23/100/3.6*1000000</f>
        <v>730.06337532534963</v>
      </c>
      <c r="O13" s="33"/>
      <c r="P13" s="33"/>
      <c r="R13" s="32"/>
    </row>
    <row r="14" spans="1:18">
      <c r="A14" s="6" t="s">
        <v>34</v>
      </c>
      <c r="B14" s="37">
        <f t="shared" si="0"/>
        <v>24554.751927264901</v>
      </c>
      <c r="C14" s="33"/>
      <c r="D14" s="37">
        <f>IF( ISERROR(IND_chemie_gas_kWh/1000),0,IND_chemie_gas_kWh/1000)*0.902</f>
        <v>26795.845814547345</v>
      </c>
      <c r="E14" s="33">
        <f>C36*'E Balans VL '!I24/100/3.6*1000000</f>
        <v>60.446763846723492</v>
      </c>
      <c r="F14" s="33">
        <f>C36*'E Balans VL '!L24/100/3.6*1000000+C36*'E Balans VL '!N24/100/3.6*1000000</f>
        <v>262.93113199752048</v>
      </c>
      <c r="G14" s="34"/>
      <c r="H14" s="33"/>
      <c r="I14" s="33"/>
      <c r="J14" s="40">
        <f>C36*'E Balans VL '!D24/100/3.6*1000000+C36*'E Balans VL '!E24/100/3.6*1000000</f>
        <v>0</v>
      </c>
      <c r="K14" s="33"/>
      <c r="L14" s="33"/>
      <c r="M14" s="33"/>
      <c r="N14" s="33">
        <f>C36*'E Balans VL '!Y24/100/3.6*1000000</f>
        <v>548.36822451105115</v>
      </c>
      <c r="O14" s="33"/>
      <c r="P14" s="33"/>
      <c r="R14" s="32"/>
    </row>
    <row r="15" spans="1:18">
      <c r="A15" s="6" t="s">
        <v>270</v>
      </c>
      <c r="B15" s="37">
        <f t="shared" si="0"/>
        <v>10712.1845116329</v>
      </c>
      <c r="C15" s="33"/>
      <c r="D15" s="37">
        <f>IF( ISERROR(IND_rest_gas_kWh/1000),0,IND_rest_gas_kWh/1000)*0.902</f>
        <v>10770.199988456714</v>
      </c>
      <c r="E15" s="33">
        <f>C37*'E Balans VL '!I15/100/3.6*1000000</f>
        <v>591.4833508008677</v>
      </c>
      <c r="F15" s="33">
        <f>C37*'E Balans VL '!L15/100/3.6*1000000+C37*'E Balans VL '!N15/100/3.6*1000000</f>
        <v>2121.7631305967384</v>
      </c>
      <c r="G15" s="34"/>
      <c r="H15" s="33"/>
      <c r="I15" s="33"/>
      <c r="J15" s="40">
        <f>C37*'E Balans VL '!D15/100/3.6*1000000+C37*'E Balans VL '!E15/100/3.6*1000000</f>
        <v>38.349416852732567</v>
      </c>
      <c r="K15" s="33"/>
      <c r="L15" s="33"/>
      <c r="M15" s="33"/>
      <c r="N15" s="33">
        <f>C37*'E Balans VL '!Y15/100/3.6*1000000</f>
        <v>2402.9111307576636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55626.462899254824</v>
      </c>
      <c r="C18" s="21">
        <f>C5+C16</f>
        <v>0</v>
      </c>
      <c r="D18" s="21">
        <f>MAX((D5+D16),0)</f>
        <v>40899.041219334758</v>
      </c>
      <c r="E18" s="21">
        <f>MAX((E5+E16),0)</f>
        <v>6096.4056317388086</v>
      </c>
      <c r="F18" s="21">
        <f>MAX((F5+F16),0)</f>
        <v>17451.63490340727</v>
      </c>
      <c r="G18" s="21"/>
      <c r="H18" s="21"/>
      <c r="I18" s="21"/>
      <c r="J18" s="21">
        <f>MAX((J5+J16),0)</f>
        <v>38.388261142488908</v>
      </c>
      <c r="K18" s="21"/>
      <c r="L18" s="21">
        <f>MAX((L5+L16),0)</f>
        <v>0</v>
      </c>
      <c r="M18" s="21"/>
      <c r="N18" s="21">
        <f>MAX((N5+N16),0)</f>
        <v>9890.5411586951705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0.20508376872128722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11408.08465201404</v>
      </c>
      <c r="C22" s="23">
        <f ca="1">C18*C20</f>
        <v>0</v>
      </c>
      <c r="D22" s="23">
        <f>D18*D20</f>
        <v>8261.6063263056221</v>
      </c>
      <c r="E22" s="23">
        <f>E18*E20</f>
        <v>1383.8840784047095</v>
      </c>
      <c r="F22" s="23">
        <f>F18*F20</f>
        <v>4659.5865192097417</v>
      </c>
      <c r="G22" s="23"/>
      <c r="H22" s="23"/>
      <c r="I22" s="23"/>
      <c r="J22" s="23">
        <f>J18*J20</f>
        <v>13.589444444441073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720.43667298148205</v>
      </c>
      <c r="C30" s="39">
        <f>IF(ISERROR(B30*3.6/1000000/'E Balans VL '!Z18*100),0,B30*3.6/1000000/'E Balans VL '!Z18*100)</f>
        <v>4.0828993578313807E-2</v>
      </c>
      <c r="D30" s="237" t="s">
        <v>754</v>
      </c>
    </row>
    <row r="31" spans="1:18">
      <c r="A31" s="6" t="s">
        <v>33</v>
      </c>
      <c r="B31" s="37">
        <f>IF( ISERROR(IND_ander_ele_kWh/1000),0,IND_ander_ele_kWh/1000)</f>
        <v>18595.473811760399</v>
      </c>
      <c r="C31" s="39">
        <f>IF(ISERROR(B31*3.6/1000000/'E Balans VL '!Z19*100),0,B31*3.6/1000000/'E Balans VL '!Z19*100)</f>
        <v>0.84341326189614862</v>
      </c>
      <c r="D31" s="237" t="s">
        <v>754</v>
      </c>
    </row>
    <row r="32" spans="1:18">
      <c r="A32" s="171" t="s">
        <v>41</v>
      </c>
      <c r="B32" s="37">
        <f>IF( ISERROR(IND_voed_ele_kWh/1000),0,IND_voed_ele_kWh/1000)</f>
        <v>792.45573170776299</v>
      </c>
      <c r="C32" s="39">
        <f>IF(ISERROR(B32*3.6/1000000/'E Balans VL '!Z20*100),0,B32*3.6/1000000/'E Balans VL '!Z20*100)</f>
        <v>2.4514253226990995E-2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251.16024390737999</v>
      </c>
      <c r="C35" s="39">
        <f>IF(ISERROR(B35*3.6/1000000/'E Balans VL '!Z22*100),0,B35*3.6/1000000/'E Balans VL '!Z22*100)</f>
        <v>4.5175891769575559E-2</v>
      </c>
      <c r="D35" s="237" t="s">
        <v>754</v>
      </c>
    </row>
    <row r="36" spans="1:5">
      <c r="A36" s="171" t="s">
        <v>34</v>
      </c>
      <c r="B36" s="37">
        <f>IF( ISERROR(IND_chemie_ele_kWh/1000),0,IND_chemie_ele_kWh/1000)</f>
        <v>24554.751927264901</v>
      </c>
      <c r="C36" s="39">
        <f>IF(ISERROR(B36*3.6/1000000/'E Balans VL '!Z24*100),0,B36*3.6/1000000/'E Balans VL '!Z24*100)</f>
        <v>0.74877321589383738</v>
      </c>
      <c r="D36" s="237" t="s">
        <v>754</v>
      </c>
    </row>
    <row r="37" spans="1:5">
      <c r="A37" s="171" t="s">
        <v>270</v>
      </c>
      <c r="B37" s="37">
        <f>IF( ISERROR(IND_rest_ele_kWh/1000),0,IND_rest_ele_kWh/1000)</f>
        <v>10712.1845116329</v>
      </c>
      <c r="C37" s="39">
        <f>IF(ISERROR(B37*3.6/1000000/'E Balans VL '!Z15*100),0,B37*3.6/1000000/'E Balans VL '!Z15*100)</f>
        <v>8.490721806845225E-2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1914.2975370854369</v>
      </c>
      <c r="C5" s="17">
        <f>'Eigen informatie GS &amp; warmtenet'!B60</f>
        <v>0</v>
      </c>
      <c r="D5" s="30">
        <f>IF(ISERROR(SUM(LB_lb_gas_kWh,LB_rest_gas_kWh,onbekend_gas_kWh)/1000),0,SUM(LB_lb_gas_kWh,LB_rest_gas_kWh,onbekend_gas_kWh)/1000)*0.902</f>
        <v>6645.3525753059421</v>
      </c>
      <c r="E5" s="17">
        <f>B17*'E Balans VL '!I25/3.6*1000000/100</f>
        <v>56.267051554481768</v>
      </c>
      <c r="F5" s="17">
        <f>B17*('E Balans VL '!L25/3.6*1000000+'E Balans VL '!N25/3.6*1000000)/100</f>
        <v>7974.8600962885175</v>
      </c>
      <c r="G5" s="18"/>
      <c r="H5" s="17"/>
      <c r="I5" s="17"/>
      <c r="J5" s="17">
        <f>('E Balans VL '!D25+'E Balans VL '!E25)/3.6*1000000*landbouw!B17/100</f>
        <v>277.34060311348924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1914.2975370854369</v>
      </c>
      <c r="C8" s="21">
        <f>C5+C6</f>
        <v>0</v>
      </c>
      <c r="D8" s="21">
        <f>MAX((D5+D6),0)</f>
        <v>6645.3525753059421</v>
      </c>
      <c r="E8" s="21">
        <f>MAX((E5+E6),0)</f>
        <v>56.267051554481768</v>
      </c>
      <c r="F8" s="21">
        <f>MAX((F5+F6),0)</f>
        <v>7974.8600962885175</v>
      </c>
      <c r="G8" s="21"/>
      <c r="H8" s="21"/>
      <c r="I8" s="21"/>
      <c r="J8" s="21">
        <f>MAX((J5+J6),0)</f>
        <v>277.34060311348924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0.20508376872128722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392.59135335935952</v>
      </c>
      <c r="C12" s="23">
        <f ca="1">C8*C10</f>
        <v>0</v>
      </c>
      <c r="D12" s="23">
        <f>D8*D10</f>
        <v>1342.3612202118004</v>
      </c>
      <c r="E12" s="23">
        <f>E8*E10</f>
        <v>12.772620702867362</v>
      </c>
      <c r="F12" s="23">
        <f>F8*F10</f>
        <v>2129.2876457090342</v>
      </c>
      <c r="G12" s="23"/>
      <c r="H12" s="23"/>
      <c r="I12" s="23"/>
      <c r="J12" s="23">
        <f>J8*J10</f>
        <v>98.178573502175183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0.27164482643778404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431.38467370009317</v>
      </c>
      <c r="C26" s="247">
        <f>B26*'GWP N2O_CH4'!B5</f>
        <v>9059.0781477019573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81.598861760381709</v>
      </c>
      <c r="C27" s="247">
        <f>B27*'GWP N2O_CH4'!B5</f>
        <v>1713.5760969680159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5.9547024266468727</v>
      </c>
      <c r="C28" s="247">
        <f>B28*'GWP N2O_CH4'!B4</f>
        <v>1845.9577522605305</v>
      </c>
      <c r="D28" s="50"/>
    </row>
    <row r="29" spans="1:4">
      <c r="A29" s="41" t="s">
        <v>277</v>
      </c>
      <c r="B29" s="247">
        <f>B34*'ha_N2O bodem landbouw'!B4</f>
        <v>22.877437629016239</v>
      </c>
      <c r="C29" s="247">
        <f>B29*'GWP N2O_CH4'!B4</f>
        <v>7092.0056649950338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5.2205524277841127E-3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3.6303383907917031E-4</v>
      </c>
      <c r="C5" s="463" t="s">
        <v>211</v>
      </c>
      <c r="D5" s="448">
        <f>SUM(D6:D11)</f>
        <v>1.2456140808764717E-3</v>
      </c>
      <c r="E5" s="448">
        <f>SUM(E6:E11)</f>
        <v>1.6655353487663104E-3</v>
      </c>
      <c r="F5" s="461" t="s">
        <v>211</v>
      </c>
      <c r="G5" s="448">
        <f>SUM(G6:G11)</f>
        <v>0.51782782150274942</v>
      </c>
      <c r="H5" s="448">
        <f>SUM(H6:H11)</f>
        <v>0.14052888372996972</v>
      </c>
      <c r="I5" s="463" t="s">
        <v>211</v>
      </c>
      <c r="J5" s="463" t="s">
        <v>211</v>
      </c>
      <c r="K5" s="463" t="s">
        <v>211</v>
      </c>
      <c r="L5" s="463" t="s">
        <v>211</v>
      </c>
      <c r="M5" s="448">
        <f>SUM(M6:M11)</f>
        <v>3.4424975962729615E-2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2.9587503100476285E-4</v>
      </c>
      <c r="C6" s="449"/>
      <c r="D6" s="962">
        <f>vkm_2011_GW_PW*SUMIFS(TableVerdeelsleutelVkm[CNG],TableVerdeelsleutelVkm[Voertuigtype],"Lichte voertuigen")*SUMIFS(TableECFTransport[EnergieConsumptieFactor (PJ per km)],TableECFTransport[Index],CONCATENATE($A6,"_CNG_CNG"))</f>
        <v>8.8745527619319743E-4</v>
      </c>
      <c r="E6" s="962">
        <f>vkm_2011_GW_PW*SUMIFS(TableVerdeelsleutelVkm[LPG],TableVerdeelsleutelVkm[Voertuigtype],"Lichte voertuigen")*SUMIFS(TableECFTransport[EnergieConsumptieFactor (PJ per km)],TableECFTransport[Index],CONCATENATE($A6,"_LPG_LPG"))</f>
        <v>1.2123913839479951E-3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0.31346883500409728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0.10092017146843837</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2.1309564826806945E-2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8.0251308843205388E-2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2.4454690192669364E-5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4.6896200142770728E-3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6.7158808074407433E-5</v>
      </c>
      <c r="C8" s="449"/>
      <c r="D8" s="451">
        <f>vkm_2011_NGW_PW*SUMIFS(TableVerdeelsleutelVkm[CNG],TableVerdeelsleutelVkm[Voertuigtype],"Lichte voertuigen")*SUMIFS(TableECFTransport[EnergieConsumptieFactor (PJ per km)],TableECFTransport[Index],CONCATENATE($A8,"_CNG_CNG"))</f>
        <v>3.5815880468327435E-4</v>
      </c>
      <c r="E8" s="451">
        <f>vkm_2011_NGW_PW*SUMIFS(TableVerdeelsleutelVkm[LPG],TableVerdeelsleutelVkm[Voertuigtype],"Lichte voertuigen")*SUMIFS(TableECFTransport[EnergieConsumptieFactor (PJ per km)],TableECFTransport[Index],CONCATENATE($A8,"_LPG_LPG"))</f>
        <v>4.5314396481831534E-4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0.10918282661827659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3.9579976026484671E-2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7.5536402906590996E-3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1.4924851037170159E-2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4.2815448539888716E-6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8.7215083098649384E-4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100.84273307754731</v>
      </c>
      <c r="C14" s="21"/>
      <c r="D14" s="21">
        <f t="shared" ref="D14:M14" si="0">((D5)*10^9/3600)+D12</f>
        <v>346.00391135457545</v>
      </c>
      <c r="E14" s="21">
        <f t="shared" si="0"/>
        <v>462.64870799064175</v>
      </c>
      <c r="F14" s="21"/>
      <c r="G14" s="21">
        <f t="shared" si="0"/>
        <v>143841.06152854153</v>
      </c>
      <c r="H14" s="21">
        <f t="shared" si="0"/>
        <v>39035.801036102697</v>
      </c>
      <c r="I14" s="21"/>
      <c r="J14" s="21"/>
      <c r="K14" s="21"/>
      <c r="L14" s="21"/>
      <c r="M14" s="21">
        <f t="shared" si="0"/>
        <v>9562.4933229804501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0.20508376872128722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20.681207747698213</v>
      </c>
      <c r="C18" s="23"/>
      <c r="D18" s="23">
        <f t="shared" ref="D18:M18" si="1">D14*D16</f>
        <v>69.892790093624242</v>
      </c>
      <c r="E18" s="23">
        <f t="shared" si="1"/>
        <v>105.02125671387569</v>
      </c>
      <c r="F18" s="23"/>
      <c r="G18" s="23">
        <f t="shared" si="1"/>
        <v>38405.563428120593</v>
      </c>
      <c r="H18" s="23">
        <f t="shared" si="1"/>
        <v>9719.914457989571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9.0823744449513976E-3</v>
      </c>
      <c r="H50" s="321">
        <f t="shared" si="2"/>
        <v>0</v>
      </c>
      <c r="I50" s="321">
        <f t="shared" si="2"/>
        <v>0</v>
      </c>
      <c r="J50" s="321">
        <f t="shared" si="2"/>
        <v>0</v>
      </c>
      <c r="K50" s="321">
        <f t="shared" si="2"/>
        <v>0</v>
      </c>
      <c r="L50" s="321">
        <f t="shared" si="2"/>
        <v>0</v>
      </c>
      <c r="M50" s="321">
        <f t="shared" si="2"/>
        <v>5.1583877363749881E-4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9.0823744449513976E-3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5.1583877363749881E-4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2522.8817902642772</v>
      </c>
      <c r="H54" s="21">
        <f t="shared" si="3"/>
        <v>0</v>
      </c>
      <c r="I54" s="21">
        <f t="shared" si="3"/>
        <v>0</v>
      </c>
      <c r="J54" s="21">
        <f t="shared" si="3"/>
        <v>0</v>
      </c>
      <c r="K54" s="21">
        <f t="shared" si="3"/>
        <v>0</v>
      </c>
      <c r="L54" s="21">
        <f t="shared" si="3"/>
        <v>0</v>
      </c>
      <c r="M54" s="21">
        <f t="shared" si="3"/>
        <v>143.28854823263856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0.20508376872128722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673.60943800056202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13090.030860813746</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13090.030860813746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2019-01-01T21:17:20Z</dcterms:modified>
</cp:coreProperties>
</file>