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J15" i="16"/>
  <c r="C16" i="15"/>
  <c r="D10" i="14" s="1"/>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D28"/>
  <c r="D30"/>
  <c r="I28"/>
  <c r="E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R10" i="14"/>
  <c r="C17" i="19" l="1"/>
  <c r="C19" s="1"/>
  <c r="D35" i="14" s="1"/>
  <c r="C18" i="15"/>
  <c r="C20" s="1"/>
  <c r="D36" i="14" s="1"/>
  <c r="C10" i="13"/>
  <c r="C12" s="1"/>
  <c r="D37" i="14" s="1"/>
  <c r="D41" s="1"/>
  <c r="C20" i="16"/>
  <c r="C22" s="1"/>
  <c r="D39" i="14" s="1"/>
  <c r="C10" i="17"/>
  <c r="C12" s="1"/>
  <c r="D48" i="14" s="1"/>
  <c r="C17" i="49"/>
  <c r="C16" i="22"/>
  <c r="C56"/>
  <c r="C58" s="1"/>
  <c r="D44" i="14" s="1"/>
  <c r="D46" s="1"/>
  <c r="C29" i="20"/>
  <c r="Q5"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16"/>
  <c r="C21" s="1"/>
  <c r="C24"/>
  <c r="G55" i="14"/>
  <c r="O69" s="1"/>
  <c r="B9" i="6" s="1"/>
  <c r="B12" s="1"/>
  <c r="B20" i="16" s="1"/>
  <c r="B22" s="1"/>
  <c r="C39" i="14" s="1"/>
  <c r="R39" s="1"/>
  <c r="F55"/>
  <c r="R13"/>
  <c r="R15" s="1"/>
  <c r="R23" s="1"/>
  <c r="Q8" i="48"/>
  <c r="Q14" s="1"/>
  <c r="D53" i="14"/>
  <c r="D55" s="1"/>
  <c r="O23"/>
  <c r="O55" s="1"/>
  <c r="C28" i="48" l="1"/>
  <c r="C25"/>
  <c r="C22"/>
  <c r="C31" s="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<sst xmlns="http://schemas.openxmlformats.org/spreadsheetml/2006/main" count="2171" uniqueCount="871">
  <si>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</si>
  <si>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</si>
  <si>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</si>
  <si>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</si>
  <si>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</si>
  <si>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</si>
  <si>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</si>
  <si>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</si>
  <si>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</si>
  <si>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</si>
  <si>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</si>
  <si>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</si>
  <si>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</si>
  <si>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</si>
  <si>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</si>
  <si>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</si>
  <si>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</si>
  <si>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</si>
  <si>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</si>
  <si>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</si>
  <si>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</si>
  <si>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</si>
  <si>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</si>
  <si>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</si>
  <si>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</si>
  <si>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</si>
  <si>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</si>
  <si>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</si>
  <si>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</si>
  <si>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</si>
  <si>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</si>
  <si>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</si>
  <si>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</si>
  <si>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</si>
  <si>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</si>
  <si>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</si>
  <si>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</si>
  <si>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</si>
  <si>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</si>
  <si>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</si>
  <si>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</si>
  <si>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</si>
  <si>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</si>
  <si>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</si>
  <si>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</si>
  <si>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</si>
  <si>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</si>
  <si>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</si>
  <si>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</si>
  <si>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</si>
  <si>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</si>
  <si>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</si>
  <si>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</si>
  <si>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</si>
  <si>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</si>
  <si>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</si>
  <si>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</si>
  <si>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</si>
  <si>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</si>
  <si>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</si>
  <si>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</si>
  <si>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</si>
  <si>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</si>
  <si>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</si>
  <si>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</si>
  <si>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</si>
  <si>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</si>
  <si>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</si>
  <si>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</si>
  <si>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</si>
  <si>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</si>
  <si>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</si>
  <si>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</si>
  <si>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</si>
  <si>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</si>
  <si>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</si>
  <si>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</si>
  <si>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</si>
  <si>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</si>
  <si>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</si>
  <si>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</si>
  <si>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</si>
  <si>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</si>
  <si>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</si>
  <si>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</si>
  <si>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</si>
  <si>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</si>
  <si>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</si>
  <si>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</si>
  <si>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</si>
  <si>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</si>
  <si>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</si>
  <si>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</si>
  <si>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</si>
  <si>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</si>
  <si>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</si>
  <si>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</si>
  <si>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</si>
  <si>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</si>
  <si>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</si>
  <si>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</si>
  <si>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</si>
  <si>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</si>
  <si>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</si>
  <si>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</si>
  <si>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</si>
  <si>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</si>
  <si>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</si>
  <si>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</si>
  <si>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</si>
  <si>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</si>
  <si>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</si>
  <si>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</si>
  <si>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</si>
  <si>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</si>
  <si>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</si>
  <si>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</si>
  <si>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</si>
  <si>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</si>
  <si>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</si>
  <si>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</si>
  <si>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</si>
  <si>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</si>
  <si>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</si>
  <si>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</si>
  <si>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</si>
  <si>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</si>
  <si>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</si>
  <si>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</si>
  <si>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</si>
  <si>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</si>
  <si>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</si>
  <si>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</si>
  <si>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</si>
  <si>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</si>
  <si>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</si>
  <si>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</si>
  <si>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</si>
  <si>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</si>
  <si>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</si>
  <si>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</si>
  <si>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</si>
  <si>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</si>
  <si>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</si>
  <si>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</si>
  <si>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</si>
  <si>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</si>
  <si>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</si>
  <si>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</si>
  <si>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</si>
  <si>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</si>
  <si>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</si>
  <si>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</si>
  <si>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</si>
  <si>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</si>
  <si>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</si>
  <si>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</si>
  <si>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</si>
  <si>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</si>
  <si>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</si>
  <si>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</si>
  <si>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</si>
  <si>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</si>
  <si>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</si>
  <si>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</si>
  <si>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</si>
  <si>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</si>
  <si>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</si>
  <si>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</si>
  <si>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</si>
  <si>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</si>
  <si>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</si>
  <si>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</si>
  <si>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</si>
  <si>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</si>
  <si>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</si>
  <si>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</si>
  <si>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</si>
  <si>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</si>
  <si>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</si>
  <si>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</si>
  <si>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</si>
  <si>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</si>
  <si>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</si>
  <si>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</si>
  <si>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</si>
  <si>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</si>
  <si>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</si>
  <si>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</si>
  <si>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</si>
  <si>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</si>
  <si>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</si>
  <si>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</si>
  <si>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</si>
  <si>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</si>
  <si>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</si>
  <si>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</si>
  <si>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</si>
  <si>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</si>
  <si>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</si>
  <si>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</si>
  <si>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</si>
  <si>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</si>
  <si>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</si>
  <si>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</si>
  <si>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</si>
  <si>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</si>
  <si>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</si>
  <si>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</si>
  <si>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</si>
  <si>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</si>
  <si>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</si>
  <si>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</si>
  <si>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</si>
  <si>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</si>
  <si>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</si>
  <si>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</si>
  <si>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</si>
  <si>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</si>
  <si>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</si>
  <si>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</si>
  <si>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</si>
  <si>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</si>
  <si>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</si>
  <si>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</si>
  <si>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</si>
  <si>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</si>
  <si>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</si>
  <si>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</si>
  <si>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</si>
  <si>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</si>
  <si>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</si>
  <si>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</si>
  <si>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</si>
  <si>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</si>
  <si>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</si>
  <si>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</si>
  <si>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</si>
  <si>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</si>
  <si>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</si>
  <si>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</si>
  <si>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</si>
  <si>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</si>
  <si>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</si>
  <si>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</si>
  <si>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</si>
  <si>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</si>
  <si>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</si>
  <si>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</si>
  <si>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</si>
  <si>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</si>
  <si>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</si>
  <si>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</si>
  <si>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</si>
  <si>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</si>
  <si>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</si>
  <si>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</si>
  <si>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</si>
  <si>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</si>
  <si>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</si>
  <si>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</si>
  <si>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</si>
  <si>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</si>
  <si>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</si>
  <si>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</si>
  <si>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</si>
  <si>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</si>
  <si>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</si>
  <si>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</si>
  <si>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</si>
  <si>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</si>
  <si>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</si>
  <si>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</si>
  <si>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</si>
  <si>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</si>
  <si>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</si>
  <si>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</si>
  <si>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</si>
  <si>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</si>
  <si>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</si>
  <si>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</si>
  <si>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</si>
  <si>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</si>
  <si>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</si>
  <si>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</si>
  <si>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</si>
  <si>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</si>
  <si>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</si>
  <si>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</si>
  <si>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</si>
  <si>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</si>
  <si>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</si>
  <si>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</si>
  <si>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</si>
  <si>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</si>
  <si>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</si>
  <si>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</si>
  <si>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</si>
  <si>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</si>
  <si>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</si>
  <si>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</si>
  <si>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</si>
  <si>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</si>
  <si>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</si>
  <si>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</si>
  <si>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</si>
  <si>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</si>
  <si>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</si>
  <si>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</si>
  <si>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</si>
  <si>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</si>
  <si>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</si>
  <si>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</si>
  <si>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</si>
  <si>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</si>
  <si>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</si>
  <si>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</si>
  <si>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</si>
  <si>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</si>
  <si>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</si>
  <si>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</si>
  <si>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</si>
  <si>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</si>
  <si>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</si>
  <si>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</si>
  <si>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</si>
  <si>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</si>
  <si>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</si>
  <si>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</si>
  <si>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</si>
  <si>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</si>
  <si>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</si>
  <si>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</si>
  <si>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</si>
  <si>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</si>
  <si>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</si>
  <si>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</si>
  <si>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</si>
  <si>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</si>
  <si>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</si>
  <si>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</si>
  <si>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</si>
  <si>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</si>
  <si>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</si>
  <si>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</si>
  <si>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</si>
  <si>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</si>
  <si>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</si>
  <si>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</si>
  <si>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</si>
  <si>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</si>
  <si>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</si>
  <si>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</si>
  <si>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</si>
  <si>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</si>
  <si>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</si>
  <si>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</si>
  <si>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</si>
  <si>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</si>
  <si>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</si>
  <si>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</si>
  <si>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</si>
  <si>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</si>
  <si>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</si>
  <si>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</si>
  <si>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</si>
  <si>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</si>
  <si>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</si>
  <si>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</si>
  <si>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</si>
  <si>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</si>
  <si>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</si>
  <si>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</si>
  <si>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</si>
  <si>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</si>
  <si>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</si>
  <si>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</si>
  <si>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</si>
  <si>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</si>
  <si>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</si>
  <si>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</si>
  <si>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</si>
  <si>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</si>
  <si>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</si>
  <si>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</si>
  <si>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</si>
  <si>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</si>
  <si>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</si>
  <si>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</si>
  <si>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</si>
  <si>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</si>
  <si>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</si>
  <si>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</si>
  <si>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</si>
  <si>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</si>
  <si>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</si>
  <si>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</si>
  <si>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</si>
  <si>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</si>
  <si>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</si>
  <si>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</si>
  <si>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</si>
  <si>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</si>
  <si>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</si>
  <si>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</si>
  <si>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</si>
  <si>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</si>
  <si>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</si>
  <si>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</si>
  <si>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</si>
  <si>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</si>
  <si>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</si>
  <si>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</si>
  <si>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</si>
  <si>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</si>
  <si>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</si>
  <si>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</si>
  <si>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</si>
  <si>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</si>
  <si>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</si>
  <si>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</si>
  <si>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</si>
  <si>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</si>
  <si>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</si>
  <si>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</si>
  <si>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</si>
  <si>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</si>
  <si>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</si>
  <si>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</si>
  <si>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</si>
  <si>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</si>
  <si>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</si>
  <si>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</si>
  <si>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</si>
  <si>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</si>
  <si>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</si>
  <si>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</si>
  <si>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</si>
  <si>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</si>
  <si>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</si>
  <si>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</si>
  <si>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</si>
  <si>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</si>
  <si>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</si>
  <si>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</si>
  <si>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</si>
  <si>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</si>
  <si>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</si>
  <si>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</si>
  <si>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</si>
  <si>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</si>
  <si>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</si>
  <si>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</si>
  <si>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</si>
  <si>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</si>
  <si>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</si>
  <si>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</si>
  <si>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</si>
  <si>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</si>
  <si>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</si>
  <si>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</si>
  <si>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</si>
  <si>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</si>
  <si>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</si>
  <si>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</si>
  <si>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</si>
  <si>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</si>
  <si>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</si>
  <si>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</si>
  <si>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</si>
  <si>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</si>
  <si>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</si>
  <si>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</si>
  <si>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</si>
  <si>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</si>
  <si>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</si>
  <si>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</si>
  <si>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</si>
  <si>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</si>
  <si>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</si>
  <si>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</si>
  <si>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</si>
  <si>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</si>
  <si>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</si>
  <si>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</si>
  <si>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</si>
  <si>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</si>
  <si>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</si>
  <si>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</si>
  <si>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</si>
  <si>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</si>
  <si>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</si>
  <si>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</si>
  <si>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</si>
  <si>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</si>
  <si>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</si>
  <si>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</si>
  <si>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</si>
  <si>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</si>
  <si>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</si>
  <si>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</si>
  <si>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</si>
  <si>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</si>
  <si>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</si>
  <si>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</si>
  <si>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</si>
  <si>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</si>
  <si>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</si>
  <si>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</si>
  <si>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</si>
  <si>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</si>
  <si>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</si>
  <si>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</si>
  <si>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</si>
  <si>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</si>
  <si>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</si>
  <si>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</si>
  <si>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</si>
  <si>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</si>
  <si>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</si>
  <si>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</si>
  <si>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</si>
  <si>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</si>
  <si>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</si>
  <si>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</si>
  <si>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</si>
  <si>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</si>
  <si>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</si>
  <si>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</si>
  <si>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</si>
  <si>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</si>
  <si>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</si>
  <si>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</si>
  <si>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</si>
  <si>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</si>
  <si>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</si>
  <si>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</si>
  <si>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</si>
  <si>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</si>
  <si>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</si>
  <si>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</si>
  <si>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</si>
  <si>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</si>
  <si>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</si>
  <si>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</si>
  <si>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</si>
  <si>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</si>
  <si>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</si>
  <si>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</si>
  <si>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</si>
  <si>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</si>
  <si>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</si>
  <si>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</si>
  <si>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</si>
  <si>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</si>
  <si>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</si>
  <si>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</si>
  <si>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</si>
  <si>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</si>
  <si>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</si>
  <si>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</si>
  <si>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</si>
  <si>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</si>
  <si>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</si>
  <si>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</si>
  <si>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</si>
  <si>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</si>
  <si>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</si>
  <si>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</si>
  <si>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</si>
  <si>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</si>
  <si>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</si>
  <si>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</si>
  <si>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</si>
  <si>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</si>
  <si>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</si>
  <si>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</si>
  <si>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</si>
  <si>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</si>
  <si>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</si>
  <si>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</si>
  <si>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</si>
  <si>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</si>
  <si>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</si>
  <si>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</si>
  <si>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</si>
  <si>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</si>
  <si>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</si>
  <si>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</si>
  <si>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</si>
  <si>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</si>
  <si>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</si>
  <si>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</si>
  <si>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</si>
  <si>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</si>
  <si>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</si>
  <si>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</si>
  <si>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</si>
  <si>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</si>
  <si>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</si>
  <si>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</si>
  <si>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</si>
  <si>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</si>
  <si>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</si>
  <si>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</si>
  <si>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</si>
  <si>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</si>
  <si>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</si>
  <si>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</si>
  <si>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</si>
  <si>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</si>
  <si>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</si>
  <si>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</si>
  <si>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</si>
  <si>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</si>
  <si>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</si>
  <si>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</si>
  <si>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</si>
  <si>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</si>
  <si>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</si>
  <si>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</si>
  <si>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</si>
  <si>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</si>
  <si>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</si>
  <si>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</si>
  <si>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</si>
  <si>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</si>
  <si>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</si>
  <si>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</si>
  <si>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</si>
  <si>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</si>
  <si>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</si>
  <si>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</si>
  <si>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</si>
  <si>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</si>
  <si>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</si>
  <si>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</si>
  <si>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</si>
  <si>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</si>
  <si>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</si>
  <si>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</si>
  <si>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</si>
  <si>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</si>
  <si>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</si>
  <si>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</si>
  <si>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</si>
  <si>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</si>
  <si>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</si>
  <si>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</si>
  <si>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</si>
  <si>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</si>
  <si>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</si>
  <si>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</si>
  <si>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</si>
  <si>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</si>
  <si>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</si>
  <si>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</si>
  <si>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</si>
  <si>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</si>
  <si>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</si>
  <si>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</si>
  <si>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</si>
  <si>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</si>
  <si>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</si>
  <si>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</si>
  <si>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</si>
  <si>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</si>
  <si>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</si>
  <si>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</si>
  <si>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</si>
  <si>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</si>
  <si>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</si>
  <si>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</si>
  <si>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</si>
  <si>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</si>
  <si>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</si>
  <si>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</si>
  <si>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</si>
  <si>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</si>
  <si>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</si>
  <si>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</si>
  <si>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</si>
  <si>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</si>
  <si>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</si>
  <si>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</si>
  <si>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</si>
  <si>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</si>
  <si>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</si>
  <si>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</si>
  <si>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</si>
  <si>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</si>
  <si>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</si>
  <si>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</si>
  <si>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</si>
  <si>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</si>
  <si>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</si>
  <si>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</si>
  <si>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</si>
  <si>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</si>
  <si>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</si>
  <si>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</si>
  <si>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</si>
  <si>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</si>
  <si>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</si>
  <si>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</si>
  <si>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</si>
  <si>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</si>
  <si>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</si>
  <si>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</si>
  <si>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</si>
  <si>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</si>
  <si>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</si>
  <si>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</si>
  <si>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</si>
  <si>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</si>
  <si>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</si>
  <si>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</si>
  <si>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</si>
  <si>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</si>
  <si>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</si>
  <si>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</si>
  <si>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</si>
  <si>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</si>
  <si>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</si>
  <si>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</si>
  <si>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</si>
  <si>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</si>
  <si>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</si>
  <si>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</si>
  <si>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</si>
  <si>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</si>
  <si>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</si>
  <si>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</si>
  <si>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</si>
  <si>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</si>
  <si>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</si>
  <si>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</si>
  <si>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</si>
  <si>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</si>
  <si>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</si>
  <si>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</si>
  <si>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</si>
  <si>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</si>
  <si>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</si>
  <si>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</si>
  <si>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</si>
  <si>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</si>
  <si>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</si>
  <si>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</si>
  <si>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</si>
  <si>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</si>
  <si>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</si>
  <si>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</si>
  <si>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</si>
  <si>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</si>
  <si>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</si>
  <si>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</si>
  <si>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</si>
  <si>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</si>
  <si>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</si>
  <si>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</si>
  <si>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</si>
  <si>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</si>
  <si>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</si>
  <si>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</si>
  <si>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</si>
  <si>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</si>
  <si>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</si>
  <si>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</si>
  <si>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</si>
  <si>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</si>
  <si>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</si>
  <si>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</si>
  <si>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</si>
  <si>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</si>
  <si>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</si>
  <si>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</si>
  <si>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</si>
  <si>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</si>
  <si>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</si>
  <si>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</si>
  <si>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</si>
  <si>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</si>
  <si>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</si>
  <si>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</si>
  <si>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</si>
  <si>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</si>
  <si>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</si>
  <si>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</si>
  <si>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</si>
  <si>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</si>
  <si>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</si>
  <si>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</si>
  <si>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</si>
  <si>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</si>
  <si>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</si>
  <si>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</si>
  <si>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</si>
  <si>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</si>
  <si>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</si>
  <si>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</si>
  <si>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</si>
  <si>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</si>
  <si>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</si>
  <si>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</si>
  <si>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</si>
  <si>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</si>
  <si>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</si>
  <si>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</si>
  <si>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</si>
  <si>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</si>
  <si>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</si>
  <si>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</si>
  <si>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</si>
  <si>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</si>
  <si>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</si>
  <si>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</si>
  <si>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</si>
  <si>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</si>
  <si>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</si>
  <si>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</si>
  <si>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</si>
  <si>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</si>
  <si>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</si>
  <si>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</si>
  <si>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</si>
  <si>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</si>
  <si>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</si>
  <si>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</si>
  <si>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</si>
  <si>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</si>
  <si>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</si>
  <si>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</si>
  <si>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</si>
  <si>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</si>
  <si>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</si>
  <si>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11053</t>
  </si>
  <si>
    <t>WUUSTWEZEL</t>
  </si>
  <si>
    <t>Eandis (januari 2018); Infrax (juni 2018)</t>
  </si>
  <si>
    <t>MOW (september 2017)</t>
  </si>
  <si>
    <t>referentietaak LNE (2017); Jaarverslag De Lijn (2016)</t>
  </si>
  <si>
    <t>VEA (april 2018)</t>
  </si>
  <si>
    <t>VEA (januari 2017)</t>
  </si>
  <si>
    <t>VEA (juni 2018)</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</si>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</sst>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162859.34767642515</c:v>
                </c:pt>
                <c:pt idx="1">
                  <c:v>35298.240452459577</c:v>
                </c:pt>
                <c:pt idx="2">
                  <c:v>1345.577</c:v>
                </c:pt>
                <c:pt idx="3">
                  <c:v>147048.88115990374</c:v>
                </c:pt>
                <c:pt idx="4">
                  <c:v>13760.942343433662</c:v>
                </c:pt>
                <c:pt idx="5">
                  <c:v>206398.4205867892</c:v>
                </c:pt>
                <c:pt idx="6">
                  <c:v>1982.4127365748766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162859.34767642515</c:v>
                </c:pt>
                <c:pt idx="1">
                  <c:v>35298.240452459577</c:v>
                </c:pt>
                <c:pt idx="2">
                  <c:v>1345.577</c:v>
                </c:pt>
                <c:pt idx="3">
                  <c:v>147048.88115990374</c:v>
                </c:pt>
                <c:pt idx="4">
                  <c:v>13760.942343433662</c:v>
                </c:pt>
                <c:pt idx="5">
                  <c:v>206398.4205867892</c:v>
                </c:pt>
                <c:pt idx="6">
                  <c:v>1982.4127365748766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24198.635535117093</c:v>
                </c:pt>
                <c:pt idx="1">
                  <c:v>5877.0594814670676</c:v>
                </c:pt>
                <c:pt idx="2">
                  <c:v>170.22140212738026</c:v>
                </c:pt>
                <c:pt idx="3">
                  <c:v>35231.580012300241</c:v>
                </c:pt>
                <c:pt idx="4">
                  <c:v>2292.5591597948442</c:v>
                </c:pt>
                <c:pt idx="5">
                  <c:v>51747.949359437109</c:v>
                </c:pt>
                <c:pt idx="6">
                  <c:v>500.8576946820998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24198.635535117093</c:v>
                </c:pt>
                <c:pt idx="1">
                  <c:v>5877.0594814670676</c:v>
                </c:pt>
                <c:pt idx="2">
                  <c:v>170.22140212738026</c:v>
                </c:pt>
                <c:pt idx="3">
                  <c:v>35231.580012300241</c:v>
                </c:pt>
                <c:pt idx="4">
                  <c:v>2292.5591597948442</c:v>
                </c:pt>
                <c:pt idx="5">
                  <c:v>51747.949359437109</c:v>
                </c:pt>
                <c:pt idx="6">
                  <c:v>500.8576946820998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11053</v>
      </c>
      <c r="B6" s="415"/>
      <c r="C6" s="416"/>
    </row>
    <row r="7" spans="1:7" s="413" customFormat="1" ht="15.75" customHeight="1">
      <c r="A7" s="417" t="str">
        <f>txtMunicipality</f>
        <v>WUUSTWEZEL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7924</v>
      </c>
      <c r="C9" s="342">
        <v>8404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5872.75</v>
      </c>
    </row>
    <row r="15" spans="1:6">
      <c r="A15" s="348" t="s">
        <v>184</v>
      </c>
      <c r="B15" s="334">
        <v>4612</v>
      </c>
    </row>
    <row r="16" spans="1:6">
      <c r="A16" s="348" t="s">
        <v>6</v>
      </c>
      <c r="B16" s="334">
        <v>8052</v>
      </c>
    </row>
    <row r="17" spans="1:6">
      <c r="A17" s="348" t="s">
        <v>7</v>
      </c>
      <c r="B17" s="334">
        <v>786</v>
      </c>
    </row>
    <row r="18" spans="1:6">
      <c r="A18" s="348" t="s">
        <v>8</v>
      </c>
      <c r="B18" s="334">
        <v>4342</v>
      </c>
    </row>
    <row r="19" spans="1:6">
      <c r="A19" s="348" t="s">
        <v>9</v>
      </c>
      <c r="B19" s="334">
        <v>4177</v>
      </c>
    </row>
    <row r="20" spans="1:6">
      <c r="A20" s="348" t="s">
        <v>10</v>
      </c>
      <c r="B20" s="334">
        <v>2116</v>
      </c>
    </row>
    <row r="21" spans="1:6">
      <c r="A21" s="348" t="s">
        <v>11</v>
      </c>
      <c r="B21" s="334">
        <v>43794</v>
      </c>
    </row>
    <row r="22" spans="1:6">
      <c r="A22" s="348" t="s">
        <v>12</v>
      </c>
      <c r="B22" s="334">
        <v>95000</v>
      </c>
    </row>
    <row r="23" spans="1:6">
      <c r="A23" s="348" t="s">
        <v>13</v>
      </c>
      <c r="B23" s="334">
        <v>1709</v>
      </c>
    </row>
    <row r="24" spans="1:6">
      <c r="A24" s="348" t="s">
        <v>14</v>
      </c>
      <c r="B24" s="334">
        <v>60</v>
      </c>
    </row>
    <row r="25" spans="1:6">
      <c r="A25" s="348" t="s">
        <v>15</v>
      </c>
      <c r="B25" s="334">
        <v>11179</v>
      </c>
    </row>
    <row r="26" spans="1:6">
      <c r="A26" s="348" t="s">
        <v>16</v>
      </c>
      <c r="B26" s="334">
        <v>489</v>
      </c>
    </row>
    <row r="27" spans="1:6">
      <c r="A27" s="348" t="s">
        <v>17</v>
      </c>
      <c r="B27" s="334">
        <v>3690</v>
      </c>
    </row>
    <row r="28" spans="1:6" s="356" customFormat="1">
      <c r="A28" s="355" t="s">
        <v>18</v>
      </c>
      <c r="B28" s="355">
        <v>1417633</v>
      </c>
    </row>
    <row r="29" spans="1:6">
      <c r="A29" s="355" t="s">
        <v>744</v>
      </c>
      <c r="B29" s="355">
        <v>496</v>
      </c>
      <c r="C29" s="356"/>
      <c r="D29" s="356"/>
      <c r="E29" s="356"/>
      <c r="F29" s="356"/>
    </row>
    <row r="30" spans="1:6">
      <c r="A30" s="341" t="s">
        <v>745</v>
      </c>
      <c r="B30" s="341">
        <v>96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5224788.3983546998</v>
      </c>
    </row>
    <row r="36" spans="1:6">
      <c r="A36" s="348" t="s">
        <v>25</v>
      </c>
      <c r="B36" s="348" t="s">
        <v>27</v>
      </c>
      <c r="C36" s="334">
        <v>0</v>
      </c>
      <c r="D36" s="334">
        <v>0</v>
      </c>
      <c r="E36" s="334">
        <v>3</v>
      </c>
      <c r="F36" s="334">
        <v>7098.9632948176004</v>
      </c>
    </row>
    <row r="37" spans="1:6">
      <c r="A37" s="348" t="s">
        <v>25</v>
      </c>
      <c r="B37" s="348" t="s">
        <v>28</v>
      </c>
      <c r="C37" s="334">
        <v>0</v>
      </c>
      <c r="D37" s="334">
        <v>0</v>
      </c>
      <c r="E37" s="334">
        <v>0</v>
      </c>
      <c r="F37" s="334">
        <v>0</v>
      </c>
    </row>
    <row r="38" spans="1:6">
      <c r="A38" s="348" t="s">
        <v>25</v>
      </c>
      <c r="B38" s="348" t="s">
        <v>29</v>
      </c>
      <c r="C38" s="334">
        <v>3</v>
      </c>
      <c r="D38" s="334">
        <v>48722261.493549101</v>
      </c>
      <c r="E38" s="334">
        <v>3</v>
      </c>
      <c r="F38" s="334">
        <v>216205.82315961001</v>
      </c>
    </row>
    <row r="39" spans="1:6">
      <c r="A39" s="348" t="s">
        <v>30</v>
      </c>
      <c r="B39" s="348" t="s">
        <v>31</v>
      </c>
      <c r="C39" s="334">
        <v>5234</v>
      </c>
      <c r="D39" s="334">
        <v>93146209.738899499</v>
      </c>
      <c r="E39" s="334">
        <v>7636</v>
      </c>
      <c r="F39" s="334">
        <v>33268287.6168251</v>
      </c>
    </row>
    <row r="40" spans="1:6">
      <c r="A40" s="348" t="s">
        <v>30</v>
      </c>
      <c r="B40" s="348" t="s">
        <v>29</v>
      </c>
      <c r="C40" s="334">
        <v>0</v>
      </c>
      <c r="D40" s="334">
        <v>0</v>
      </c>
      <c r="E40" s="334">
        <v>0</v>
      </c>
      <c r="F40" s="334">
        <v>0</v>
      </c>
    </row>
    <row r="41" spans="1:6">
      <c r="A41" s="348" t="s">
        <v>32</v>
      </c>
      <c r="B41" s="348" t="s">
        <v>33</v>
      </c>
      <c r="C41" s="334">
        <v>76</v>
      </c>
      <c r="D41" s="334">
        <v>1763818.9741384101</v>
      </c>
      <c r="E41" s="334">
        <v>230</v>
      </c>
      <c r="F41" s="334">
        <v>2541443.3885146198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660795.20776034996</v>
      </c>
      <c r="E44" s="334">
        <v>33</v>
      </c>
      <c r="F44" s="334">
        <v>1511050.15427216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56564.435576614604</v>
      </c>
    </row>
    <row r="48" spans="1:6">
      <c r="A48" s="348" t="s">
        <v>32</v>
      </c>
      <c r="B48" s="348" t="s">
        <v>29</v>
      </c>
      <c r="C48" s="334">
        <v>32</v>
      </c>
      <c r="D48" s="334">
        <v>1440996.90166657</v>
      </c>
      <c r="E48" s="334">
        <v>28</v>
      </c>
      <c r="F48" s="334">
        <v>961937.05395527603</v>
      </c>
    </row>
    <row r="49" spans="1:6">
      <c r="A49" s="348" t="s">
        <v>32</v>
      </c>
      <c r="B49" s="348" t="s">
        <v>40</v>
      </c>
      <c r="C49" s="334">
        <v>0</v>
      </c>
      <c r="D49" s="334">
        <v>0</v>
      </c>
      <c r="E49" s="334">
        <v>0</v>
      </c>
      <c r="F49" s="334">
        <v>0</v>
      </c>
    </row>
    <row r="50" spans="1:6">
      <c r="A50" s="348" t="s">
        <v>32</v>
      </c>
      <c r="B50" s="348" t="s">
        <v>41</v>
      </c>
      <c r="C50" s="334">
        <v>6</v>
      </c>
      <c r="D50" s="334">
        <v>432240.952940449</v>
      </c>
      <c r="E50" s="334">
        <v>10</v>
      </c>
      <c r="F50" s="334">
        <v>337095.665660584</v>
      </c>
    </row>
    <row r="51" spans="1:6">
      <c r="A51" s="348" t="s">
        <v>42</v>
      </c>
      <c r="B51" s="348" t="s">
        <v>43</v>
      </c>
      <c r="C51" s="334">
        <v>31</v>
      </c>
      <c r="D51" s="334">
        <v>152364195.44429001</v>
      </c>
      <c r="E51" s="334">
        <v>363</v>
      </c>
      <c r="F51" s="334">
        <v>11898050.202089701</v>
      </c>
    </row>
    <row r="52" spans="1:6">
      <c r="A52" s="348" t="s">
        <v>42</v>
      </c>
      <c r="B52" s="348" t="s">
        <v>29</v>
      </c>
      <c r="C52" s="334">
        <v>7</v>
      </c>
      <c r="D52" s="334">
        <v>6589881.7931215996</v>
      </c>
      <c r="E52" s="334">
        <v>3</v>
      </c>
      <c r="F52" s="334">
        <v>33049.303457288799</v>
      </c>
    </row>
    <row r="53" spans="1:6">
      <c r="A53" s="348" t="s">
        <v>44</v>
      </c>
      <c r="B53" s="348" t="s">
        <v>45</v>
      </c>
      <c r="C53" s="334">
        <v>110</v>
      </c>
      <c r="D53" s="334">
        <v>2098394.44774378</v>
      </c>
      <c r="E53" s="334">
        <v>294</v>
      </c>
      <c r="F53" s="334">
        <v>1237762.8287253701</v>
      </c>
    </row>
    <row r="54" spans="1:6">
      <c r="A54" s="348" t="s">
        <v>46</v>
      </c>
      <c r="B54" s="348" t="s">
        <v>47</v>
      </c>
      <c r="C54" s="334">
        <v>0</v>
      </c>
      <c r="D54" s="334">
        <v>0</v>
      </c>
      <c r="E54" s="334">
        <v>1</v>
      </c>
      <c r="F54" s="334">
        <v>1345577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979003.05434762104</v>
      </c>
      <c r="E57" s="334">
        <v>76</v>
      </c>
      <c r="F57" s="334">
        <v>1516564.04043137</v>
      </c>
    </row>
    <row r="58" spans="1:6">
      <c r="A58" s="348" t="s">
        <v>49</v>
      </c>
      <c r="B58" s="348" t="s">
        <v>51</v>
      </c>
      <c r="C58" s="334">
        <v>25</v>
      </c>
      <c r="D58" s="334">
        <v>1330078.9989159401</v>
      </c>
      <c r="E58" s="334">
        <v>40</v>
      </c>
      <c r="F58" s="334">
        <v>462990.12681237701</v>
      </c>
    </row>
    <row r="59" spans="1:6">
      <c r="A59" s="348" t="s">
        <v>49</v>
      </c>
      <c r="B59" s="348" t="s">
        <v>52</v>
      </c>
      <c r="C59" s="334">
        <v>85</v>
      </c>
      <c r="D59" s="334">
        <v>2426856.1871992298</v>
      </c>
      <c r="E59" s="334">
        <v>179</v>
      </c>
      <c r="F59" s="334">
        <v>4694921.9404964596</v>
      </c>
    </row>
    <row r="60" spans="1:6">
      <c r="A60" s="348" t="s">
        <v>49</v>
      </c>
      <c r="B60" s="348" t="s">
        <v>53</v>
      </c>
      <c r="C60" s="334">
        <v>52</v>
      </c>
      <c r="D60" s="334">
        <v>2217128.88343442</v>
      </c>
      <c r="E60" s="334">
        <v>70</v>
      </c>
      <c r="F60" s="334">
        <v>1396664.1936077699</v>
      </c>
    </row>
    <row r="61" spans="1:6">
      <c r="A61" s="348" t="s">
        <v>49</v>
      </c>
      <c r="B61" s="348" t="s">
        <v>54</v>
      </c>
      <c r="C61" s="334">
        <v>146</v>
      </c>
      <c r="D61" s="334">
        <v>6167721.8052231697</v>
      </c>
      <c r="E61" s="334">
        <v>285</v>
      </c>
      <c r="F61" s="334">
        <v>2802285.7812315002</v>
      </c>
    </row>
    <row r="62" spans="1:6">
      <c r="A62" s="348" t="s">
        <v>49</v>
      </c>
      <c r="B62" s="348" t="s">
        <v>55</v>
      </c>
      <c r="C62" s="334">
        <v>8</v>
      </c>
      <c r="D62" s="334">
        <v>1210037.74606615</v>
      </c>
      <c r="E62" s="334">
        <v>13</v>
      </c>
      <c r="F62" s="334">
        <v>315046.83977459301</v>
      </c>
    </row>
    <row r="63" spans="1:6">
      <c r="A63" s="348" t="s">
        <v>49</v>
      </c>
      <c r="B63" s="348" t="s">
        <v>29</v>
      </c>
      <c r="C63" s="334">
        <v>90</v>
      </c>
      <c r="D63" s="334">
        <v>3887677.3258285299</v>
      </c>
      <c r="E63" s="334">
        <v>113</v>
      </c>
      <c r="F63" s="334">
        <v>3175740.5071477499</v>
      </c>
    </row>
    <row r="64" spans="1:6">
      <c r="A64" s="348" t="s">
        <v>56</v>
      </c>
      <c r="B64" s="348" t="s">
        <v>57</v>
      </c>
      <c r="C64" s="334">
        <v>0</v>
      </c>
      <c r="D64" s="334">
        <v>0</v>
      </c>
      <c r="E64" s="334">
        <v>0</v>
      </c>
      <c r="F64" s="334">
        <v>0</v>
      </c>
    </row>
    <row r="65" spans="1:6">
      <c r="A65" s="348" t="s">
        <v>56</v>
      </c>
      <c r="B65" s="348" t="s">
        <v>29</v>
      </c>
      <c r="C65" s="334">
        <v>4</v>
      </c>
      <c r="D65" s="334">
        <v>63615.754520115603</v>
      </c>
      <c r="E65" s="334">
        <v>6</v>
      </c>
      <c r="F65" s="334">
        <v>72061.506257518005</v>
      </c>
    </row>
    <row r="66" spans="1:6">
      <c r="A66" s="348" t="s">
        <v>56</v>
      </c>
      <c r="B66" s="348" t="s">
        <v>58</v>
      </c>
      <c r="C66" s="334">
        <v>0</v>
      </c>
      <c r="D66" s="334">
        <v>0</v>
      </c>
      <c r="E66" s="334">
        <v>18</v>
      </c>
      <c r="F66" s="334">
        <v>574176.39501844801</v>
      </c>
    </row>
    <row r="67" spans="1:6">
      <c r="A67" s="355" t="s">
        <v>56</v>
      </c>
      <c r="B67" s="355" t="s">
        <v>59</v>
      </c>
      <c r="C67" s="334">
        <v>0</v>
      </c>
      <c r="D67" s="334">
        <v>0</v>
      </c>
      <c r="E67" s="334">
        <v>0</v>
      </c>
      <c r="F67" s="334">
        <v>0</v>
      </c>
    </row>
    <row r="68" spans="1:6">
      <c r="A68" s="341" t="s">
        <v>56</v>
      </c>
      <c r="B68" s="341" t="s">
        <v>60</v>
      </c>
      <c r="C68" s="334">
        <v>5</v>
      </c>
      <c r="D68" s="334">
        <v>132886.457140399</v>
      </c>
      <c r="E68" s="334">
        <v>19</v>
      </c>
      <c r="F68" s="334">
        <v>556957.01383035397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70391024</v>
      </c>
      <c r="E73" s="476">
        <v>71417085.865879759</v>
      </c>
    </row>
    <row r="74" spans="1:6">
      <c r="A74" s="348" t="s">
        <v>64</v>
      </c>
      <c r="B74" s="348" t="s">
        <v>657</v>
      </c>
      <c r="C74" s="1272" t="s">
        <v>659</v>
      </c>
      <c r="D74" s="476">
        <v>5197817.2671306096</v>
      </c>
      <c r="E74" s="476">
        <v>5321146.1952479538</v>
      </c>
    </row>
    <row r="75" spans="1:6">
      <c r="A75" s="348" t="s">
        <v>65</v>
      </c>
      <c r="B75" s="348" t="s">
        <v>656</v>
      </c>
      <c r="C75" s="1272" t="s">
        <v>660</v>
      </c>
      <c r="D75" s="476">
        <v>13625215</v>
      </c>
      <c r="E75" s="476">
        <v>13803917.346296448</v>
      </c>
    </row>
    <row r="76" spans="1:6">
      <c r="A76" s="348" t="s">
        <v>65</v>
      </c>
      <c r="B76" s="348" t="s">
        <v>657</v>
      </c>
      <c r="C76" s="1272" t="s">
        <v>661</v>
      </c>
      <c r="D76" s="476">
        <v>351680.26713060949</v>
      </c>
      <c r="E76" s="476">
        <v>365730.90179776796</v>
      </c>
    </row>
    <row r="77" spans="1:6">
      <c r="A77" s="348" t="s">
        <v>66</v>
      </c>
      <c r="B77" s="348" t="s">
        <v>656</v>
      </c>
      <c r="C77" s="1272" t="s">
        <v>662</v>
      </c>
      <c r="D77" s="476">
        <v>97386852</v>
      </c>
      <c r="E77" s="476">
        <v>106731567.66134788</v>
      </c>
    </row>
    <row r="78" spans="1:6">
      <c r="A78" s="341" t="s">
        <v>66</v>
      </c>
      <c r="B78" s="341" t="s">
        <v>657</v>
      </c>
      <c r="C78" s="341" t="s">
        <v>663</v>
      </c>
      <c r="D78" s="1273">
        <v>27502636</v>
      </c>
      <c r="E78" s="1273">
        <v>28614396.876292225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537663.46573878103</v>
      </c>
      <c r="C83" s="476">
        <v>540029.85033265315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41508.720472288747</v>
      </c>
    </row>
    <row r="91" spans="1:6">
      <c r="A91" s="348" t="s">
        <v>68</v>
      </c>
      <c r="B91" s="334">
        <v>5697.7608723665899</v>
      </c>
    </row>
    <row r="92" spans="1:6">
      <c r="A92" s="341" t="s">
        <v>69</v>
      </c>
      <c r="B92" s="342">
        <v>3797.8405954976924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3580</v>
      </c>
    </row>
    <row r="98" spans="1:6">
      <c r="A98" s="348" t="s">
        <v>72</v>
      </c>
      <c r="B98" s="334">
        <v>5</v>
      </c>
    </row>
    <row r="99" spans="1:6">
      <c r="A99" s="348" t="s">
        <v>73</v>
      </c>
      <c r="B99" s="334">
        <v>229</v>
      </c>
    </row>
    <row r="100" spans="1:6">
      <c r="A100" s="348" t="s">
        <v>74</v>
      </c>
      <c r="B100" s="334">
        <v>824</v>
      </c>
    </row>
    <row r="101" spans="1:6">
      <c r="A101" s="348" t="s">
        <v>75</v>
      </c>
      <c r="B101" s="334">
        <v>181</v>
      </c>
    </row>
    <row r="102" spans="1:6">
      <c r="A102" s="348" t="s">
        <v>76</v>
      </c>
      <c r="B102" s="334">
        <v>79</v>
      </c>
    </row>
    <row r="103" spans="1:6">
      <c r="A103" s="348" t="s">
        <v>77</v>
      </c>
      <c r="B103" s="334">
        <v>142</v>
      </c>
    </row>
    <row r="104" spans="1:6">
      <c r="A104" s="348" t="s">
        <v>78</v>
      </c>
      <c r="B104" s="334">
        <v>1224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62</v>
      </c>
      <c r="C123" s="334">
        <v>35</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2</v>
      </c>
    </row>
    <row r="131" spans="1:6">
      <c r="A131" s="348" t="s">
        <v>296</v>
      </c>
      <c r="B131" s="334">
        <v>4</v>
      </c>
    </row>
    <row r="132" spans="1:6">
      <c r="A132" s="341" t="s">
        <v>297</v>
      </c>
      <c r="B132" s="342">
        <v>49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72086.393699292996</v>
      </c>
      <c r="C3" s="43" t="s">
        <v>170</v>
      </c>
      <c r="D3" s="43"/>
      <c r="E3" s="154"/>
      <c r="F3" s="43"/>
      <c r="G3" s="43"/>
      <c r="H3" s="43"/>
      <c r="I3" s="43"/>
      <c r="J3" s="43"/>
      <c r="K3" s="96"/>
    </row>
    <row r="4" spans="1:11">
      <c r="A4" s="383" t="s">
        <v>171</v>
      </c>
      <c r="B4" s="49">
        <f>IF(ISERROR('SEAP template'!B69),0,'SEAP template'!B69)</f>
        <v>109338.27194015303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13831.771764705883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0.12650439337725025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19759.673949579828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83334.21428571429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0.23711358076567554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1345.577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1345.577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0.12650439337725025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170.22140212738026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33268.287616825102</v>
      </c>
      <c r="C5" s="17">
        <f>IF(ISERROR('Eigen informatie GS &amp; warmtenet'!B57),0,'Eigen informatie GS &amp; warmtenet'!B57)</f>
        <v>0</v>
      </c>
      <c r="D5" s="30">
        <f>(SUM(HH_hh_gas_kWh,HH_rest_gas_kWh)/1000)*0.902</f>
        <v>84017.881184487356</v>
      </c>
      <c r="E5" s="17">
        <f>B46*B57</f>
        <v>10121.793874083412</v>
      </c>
      <c r="F5" s="17">
        <f>B51*B62</f>
        <v>0</v>
      </c>
      <c r="G5" s="18"/>
      <c r="H5" s="17"/>
      <c r="I5" s="17"/>
      <c r="J5" s="17">
        <f>B50*B61+C50*C61</f>
        <v>0</v>
      </c>
      <c r="K5" s="17"/>
      <c r="L5" s="17"/>
      <c r="M5" s="17"/>
      <c r="N5" s="17">
        <f>B48*B59+C48*C59</f>
        <v>27264.230795329349</v>
      </c>
      <c r="O5" s="17">
        <f>B69*B70*B71</f>
        <v>315.79333333333335</v>
      </c>
      <c r="P5" s="17">
        <f>B77*B78*B79/1000-B77*B78*B79/1000/B80</f>
        <v>2173.6</v>
      </c>
    </row>
    <row r="6" spans="1:16">
      <c r="A6" s="16" t="s">
        <v>621</v>
      </c>
      <c r="B6" s="843">
        <f>kWh_PV_kleiner_dan_10kW</f>
        <v>5697.7608723665899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38966.048489191693</v>
      </c>
      <c r="C8" s="21">
        <f>C5</f>
        <v>0</v>
      </c>
      <c r="D8" s="21">
        <f>D5</f>
        <v>84017.881184487356</v>
      </c>
      <c r="E8" s="21">
        <f>E5</f>
        <v>10121.793874083412</v>
      </c>
      <c r="F8" s="21">
        <f>F5</f>
        <v>0</v>
      </c>
      <c r="G8" s="21"/>
      <c r="H8" s="21"/>
      <c r="I8" s="21"/>
      <c r="J8" s="21">
        <f>J5</f>
        <v>0</v>
      </c>
      <c r="K8" s="21"/>
      <c r="L8" s="21">
        <f>L5</f>
        <v>0</v>
      </c>
      <c r="M8" s="21">
        <f>M5</f>
        <v>0</v>
      </c>
      <c r="N8" s="21">
        <f>N5</f>
        <v>27264.230795329349</v>
      </c>
      <c r="O8" s="21">
        <f>O5</f>
        <v>315.79333333333335</v>
      </c>
      <c r="P8" s="21">
        <f>P5</f>
        <v>2173.6</v>
      </c>
    </row>
    <row r="9" spans="1:16">
      <c r="B9" s="19"/>
      <c r="C9" s="19"/>
      <c r="D9" s="258"/>
      <c r="E9" s="19"/>
      <c r="F9" s="19"/>
      <c r="G9" s="19"/>
      <c r="H9" s="19"/>
      <c r="I9" s="19"/>
      <c r="J9" s="19"/>
      <c r="K9" s="19"/>
      <c r="L9" s="19"/>
      <c r="M9" s="19"/>
      <c r="N9" s="19"/>
      <c r="O9" s="19"/>
      <c r="P9" s="19"/>
    </row>
    <row r="10" spans="1:16">
      <c r="A10" s="24" t="s">
        <v>214</v>
      </c>
      <c r="B10" s="25">
        <f ca="1">'EF ele_warmte'!B12</f>
        <v>0.12650439337725025</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4929.376326433714</v>
      </c>
      <c r="C12" s="23">
        <f ca="1">C10*C8</f>
        <v>0</v>
      </c>
      <c r="D12" s="23">
        <f>D8*D10</f>
        <v>16971.611999266446</v>
      </c>
      <c r="E12" s="23">
        <f>E10*E8</f>
        <v>2297.6472094169349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3580</v>
      </c>
      <c r="C18" s="166" t="s">
        <v>111</v>
      </c>
      <c r="D18" s="228"/>
      <c r="E18" s="15"/>
    </row>
    <row r="19" spans="1:7">
      <c r="A19" s="171" t="s">
        <v>72</v>
      </c>
      <c r="B19" s="37">
        <f>aantalw2001_ander</f>
        <v>5</v>
      </c>
      <c r="C19" s="166" t="s">
        <v>111</v>
      </c>
      <c r="D19" s="229"/>
      <c r="E19" s="15"/>
    </row>
    <row r="20" spans="1:7">
      <c r="A20" s="171" t="s">
        <v>73</v>
      </c>
      <c r="B20" s="37">
        <f>aantalw2001_propaan</f>
        <v>229</v>
      </c>
      <c r="C20" s="167">
        <f>IF(ISERROR(B20/SUM($B$20,$B$21,$B$22)*100),0,B20/SUM($B$20,$B$21,$B$22)*100)</f>
        <v>18.557536466774714</v>
      </c>
      <c r="D20" s="229"/>
      <c r="E20" s="15"/>
    </row>
    <row r="21" spans="1:7">
      <c r="A21" s="171" t="s">
        <v>74</v>
      </c>
      <c r="B21" s="37">
        <f>aantalw2001_elektriciteit</f>
        <v>824</v>
      </c>
      <c r="C21" s="167">
        <f>IF(ISERROR(B21/SUM($B$20,$B$21,$B$22)*100),0,B21/SUM($B$20,$B$21,$B$22)*100)</f>
        <v>66.774716369529983</v>
      </c>
      <c r="D21" s="229"/>
      <c r="E21" s="15"/>
    </row>
    <row r="22" spans="1:7">
      <c r="A22" s="171" t="s">
        <v>75</v>
      </c>
      <c r="B22" s="37">
        <f>aantalw2001_hout</f>
        <v>181</v>
      </c>
      <c r="C22" s="167">
        <f>IF(ISERROR(B22/SUM($B$20,$B$21,$B$22)*100),0,B22/SUM($B$20,$B$21,$B$22)*100)</f>
        <v>14.667747163695299</v>
      </c>
      <c r="D22" s="229"/>
      <c r="E22" s="15"/>
    </row>
    <row r="23" spans="1:7">
      <c r="A23" s="171" t="s">
        <v>76</v>
      </c>
      <c r="B23" s="37">
        <f>aantalw2001_niet_gespec</f>
        <v>79</v>
      </c>
      <c r="C23" s="166" t="s">
        <v>111</v>
      </c>
      <c r="D23" s="228"/>
      <c r="E23" s="15"/>
    </row>
    <row r="24" spans="1:7">
      <c r="A24" s="171" t="s">
        <v>77</v>
      </c>
      <c r="B24" s="37">
        <f>aantalw2001_steenkool</f>
        <v>142</v>
      </c>
      <c r="C24" s="166" t="s">
        <v>111</v>
      </c>
      <c r="D24" s="229"/>
      <c r="E24" s="15"/>
    </row>
    <row r="25" spans="1:7">
      <c r="A25" s="171" t="s">
        <v>78</v>
      </c>
      <c r="B25" s="37">
        <f>aantalw2001_stookolie</f>
        <v>1224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7924</v>
      </c>
      <c r="C28" s="36"/>
      <c r="D28" s="228"/>
    </row>
    <row r="29" spans="1:7" s="15" customFormat="1">
      <c r="A29" s="230" t="s">
        <v>795</v>
      </c>
      <c r="B29" s="37">
        <f>SUM(HH_hh_gas_aantal,HH_rest_gas_aantal)</f>
        <v>5234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5234</v>
      </c>
      <c r="C32" s="167">
        <f>IF(ISERROR(B32/SUM($B$32,$B$34,$B$35,$B$36,$B$38,$B$39)*100),0,B32/SUM($B$32,$B$34,$B$35,$B$36,$B$38,$B$39)*100)</f>
        <v>67.016645326504474</v>
      </c>
      <c r="D32" s="233"/>
      <c r="G32" s="15"/>
    </row>
    <row r="33" spans="1:7">
      <c r="A33" s="171" t="s">
        <v>72</v>
      </c>
      <c r="B33" s="34" t="s">
        <v>111</v>
      </c>
      <c r="C33" s="167"/>
      <c r="D33" s="233"/>
      <c r="G33" s="15"/>
    </row>
    <row r="34" spans="1:7">
      <c r="A34" s="171" t="s">
        <v>73</v>
      </c>
      <c r="B34" s="33">
        <f>IF((($B$28-$B$32-$B$39-$B$77-$B$38)*C20/100)&lt;0,0,($B$28-$B$32-$B$39-$B$77-$B$38)*C20/100)</f>
        <v>478.04213938411658</v>
      </c>
      <c r="C34" s="167">
        <f>IF(ISERROR(B34/SUM($B$32,$B$34,$B$35,$B$36,$B$38,$B$39)*100),0,B34/SUM($B$32,$B$34,$B$35,$B$36,$B$38,$B$39)*100)</f>
        <v>6.120898071499572</v>
      </c>
      <c r="D34" s="233"/>
      <c r="G34" s="15"/>
    </row>
    <row r="35" spans="1:7">
      <c r="A35" s="171" t="s">
        <v>74</v>
      </c>
      <c r="B35" s="33">
        <f>IF((($B$28-$B$32-$B$39-$B$77-$B$38)*C21/100)&lt;0,0,($B$28-$B$32-$B$39-$B$77-$B$38)*C21/100)</f>
        <v>1720.1166936790924</v>
      </c>
      <c r="C35" s="167">
        <f>IF(ISERROR(B35/SUM($B$32,$B$34,$B$35,$B$36,$B$38,$B$39)*100),0,B35/SUM($B$32,$B$34,$B$35,$B$36,$B$38,$B$39)*100)</f>
        <v>22.024541532382745</v>
      </c>
      <c r="D35" s="233"/>
      <c r="G35" s="15"/>
    </row>
    <row r="36" spans="1:7">
      <c r="A36" s="171" t="s">
        <v>75</v>
      </c>
      <c r="B36" s="33">
        <f>IF((($B$28-$B$32-$B$39-$B$77-$B$38)*C22/100)&lt;0,0,($B$28-$B$32-$B$39-$B$77-$B$38)*C22/100)</f>
        <v>377.8411669367909</v>
      </c>
      <c r="C36" s="167">
        <f>IF(ISERROR(B36/SUM($B$32,$B$34,$B$35,$B$36,$B$38,$B$39)*100),0,B36/SUM($B$32,$B$34,$B$35,$B$36,$B$38,$B$39)*100)</f>
        <v>4.8379150696131994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5234</v>
      </c>
      <c r="C44" s="34" t="s">
        <v>111</v>
      </c>
      <c r="D44" s="174"/>
    </row>
    <row r="45" spans="1:7">
      <c r="A45" s="171" t="s">
        <v>72</v>
      </c>
      <c r="B45" s="33" t="str">
        <f t="shared" si="0"/>
        <v>-</v>
      </c>
      <c r="C45" s="34" t="s">
        <v>111</v>
      </c>
      <c r="D45" s="174"/>
    </row>
    <row r="46" spans="1:7">
      <c r="A46" s="171" t="s">
        <v>73</v>
      </c>
      <c r="B46" s="33">
        <f t="shared" si="0"/>
        <v>478.04213938411658</v>
      </c>
      <c r="C46" s="34" t="s">
        <v>111</v>
      </c>
      <c r="D46" s="174"/>
    </row>
    <row r="47" spans="1:7">
      <c r="A47" s="171" t="s">
        <v>74</v>
      </c>
      <c r="B47" s="33">
        <f t="shared" si="0"/>
        <v>1720.1166936790924</v>
      </c>
      <c r="C47" s="34" t="s">
        <v>111</v>
      </c>
      <c r="D47" s="174"/>
    </row>
    <row r="48" spans="1:7">
      <c r="A48" s="171" t="s">
        <v>75</v>
      </c>
      <c r="B48" s="33">
        <f t="shared" si="0"/>
        <v>377.8411669367909</v>
      </c>
      <c r="C48" s="33">
        <f>B48*10</f>
        <v>3778.4116693679089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14364.213429501822</v>
      </c>
      <c r="C5" s="17">
        <f>IF(ISERROR('Eigen informatie GS &amp; warmtenet'!B58),0,'Eigen informatie GS &amp; warmtenet'!B58)</f>
        <v>0</v>
      </c>
      <c r="D5" s="30">
        <f>SUM(D6:D12)</f>
        <v>16433.090608915583</v>
      </c>
      <c r="E5" s="17">
        <f>SUM(E6:E12)</f>
        <v>236.32831912323101</v>
      </c>
      <c r="F5" s="17">
        <f>SUM(F6:F12)</f>
        <v>2572.2028774185947</v>
      </c>
      <c r="G5" s="18"/>
      <c r="H5" s="17"/>
      <c r="I5" s="17"/>
      <c r="J5" s="17">
        <f>SUM(J6:J12)</f>
        <v>4.060879633356438E-2</v>
      </c>
      <c r="K5" s="17"/>
      <c r="L5" s="17"/>
      <c r="M5" s="17"/>
      <c r="N5" s="17">
        <f>SUM(N6:N12)</f>
        <v>1612.9712753706767</v>
      </c>
      <c r="O5" s="17">
        <f>B38*B39*B40</f>
        <v>3.1266666666666669</v>
      </c>
      <c r="P5" s="17">
        <f>B46*B47*B48/1000-B46*B47*B48/1000/B49</f>
        <v>76.266666666666666</v>
      </c>
      <c r="R5" s="32"/>
    </row>
    <row r="6" spans="1:18">
      <c r="A6" s="32" t="s">
        <v>54</v>
      </c>
      <c r="B6" s="37">
        <f>B26</f>
        <v>2802.2857812315001</v>
      </c>
      <c r="C6" s="33"/>
      <c r="D6" s="37">
        <f>IF(ISERROR(TER_kantoor_gas_kWh/1000),0,TER_kantoor_gas_kWh/1000)*0.902</f>
        <v>5563.2850683112993</v>
      </c>
      <c r="E6" s="33">
        <f>$C$26*'E Balans VL '!I12/100/3.6*1000000</f>
        <v>1.7563795251109703E-2</v>
      </c>
      <c r="F6" s="33">
        <f>$C$26*('E Balans VL '!L12+'E Balans VL '!N12)/100/3.6*1000000</f>
        <v>421.10524958628338</v>
      </c>
      <c r="G6" s="34"/>
      <c r="H6" s="33"/>
      <c r="I6" s="33"/>
      <c r="J6" s="33">
        <f>$C$26*('E Balans VL '!D12+'E Balans VL '!E12)/100/3.6*1000000</f>
        <v>0</v>
      </c>
      <c r="K6" s="33"/>
      <c r="L6" s="33"/>
      <c r="M6" s="33"/>
      <c r="N6" s="33">
        <f>$C$26*'E Balans VL '!Y12/100/3.6*1000000</f>
        <v>2.6799708652838659</v>
      </c>
      <c r="O6" s="33"/>
      <c r="P6" s="33"/>
      <c r="R6" s="32"/>
    </row>
    <row r="7" spans="1:18">
      <c r="A7" s="32" t="s">
        <v>53</v>
      </c>
      <c r="B7" s="37">
        <f t="shared" ref="B7:B12" si="0">B27</f>
        <v>1396.6641936077699</v>
      </c>
      <c r="C7" s="33"/>
      <c r="D7" s="37">
        <f>IF(ISERROR(TER_horeca_gas_kWh/1000),0,TER_horeca_gas_kWh/1000)*0.902</f>
        <v>1999.850252857847</v>
      </c>
      <c r="E7" s="33">
        <f>$C$27*'E Balans VL '!I9/100/3.6*1000000</f>
        <v>19.999998612619112</v>
      </c>
      <c r="F7" s="33">
        <f>$C$27*('E Balans VL '!L9+'E Balans VL '!N9)/100/3.6*1000000</f>
        <v>176.86375067049497</v>
      </c>
      <c r="G7" s="34"/>
      <c r="H7" s="33"/>
      <c r="I7" s="33"/>
      <c r="J7" s="33">
        <f>$C$27*('E Balans VL '!D9+'E Balans VL '!E9)/100/3.6*1000000</f>
        <v>0</v>
      </c>
      <c r="K7" s="33"/>
      <c r="L7" s="33"/>
      <c r="M7" s="33"/>
      <c r="N7" s="33">
        <f>$C$27*'E Balans VL '!Y9/100/3.6*1000000</f>
        <v>0.40151016186009447</v>
      </c>
      <c r="O7" s="33"/>
      <c r="P7" s="33"/>
      <c r="R7" s="32"/>
    </row>
    <row r="8" spans="1:18">
      <c r="A8" s="6" t="s">
        <v>52</v>
      </c>
      <c r="B8" s="37">
        <f t="shared" si="0"/>
        <v>4694.9219404964597</v>
      </c>
      <c r="C8" s="33"/>
      <c r="D8" s="37">
        <f>IF(ISERROR(TER_handel_gas_kWh/1000),0,TER_handel_gas_kWh/1000)*0.902</f>
        <v>2189.024280853705</v>
      </c>
      <c r="E8" s="33">
        <f>$C$28*'E Balans VL '!I13/100/3.6*1000000</f>
        <v>170.2842398299708</v>
      </c>
      <c r="F8" s="33">
        <f>$C$28*('E Balans VL '!L13+'E Balans VL '!N13)/100/3.6*1000000</f>
        <v>904.28950484670759</v>
      </c>
      <c r="G8" s="34"/>
      <c r="H8" s="33"/>
      <c r="I8" s="33"/>
      <c r="J8" s="33">
        <f>$C$28*('E Balans VL '!D13+'E Balans VL '!E13)/100/3.6*1000000</f>
        <v>0</v>
      </c>
      <c r="K8" s="33"/>
      <c r="L8" s="33"/>
      <c r="M8" s="33"/>
      <c r="N8" s="33">
        <f>$C$28*'E Balans VL '!Y13/100/3.6*1000000</f>
        <v>6.5035471409482479</v>
      </c>
      <c r="O8" s="33"/>
      <c r="P8" s="33"/>
      <c r="R8" s="32"/>
    </row>
    <row r="9" spans="1:18">
      <c r="A9" s="32" t="s">
        <v>51</v>
      </c>
      <c r="B9" s="37">
        <f t="shared" si="0"/>
        <v>462.99012681237701</v>
      </c>
      <c r="C9" s="33"/>
      <c r="D9" s="37">
        <f>IF(ISERROR(TER_gezond_gas_kWh/1000),0,TER_gezond_gas_kWh/1000)*0.902</f>
        <v>1199.7312570221779</v>
      </c>
      <c r="E9" s="33">
        <f>$C$29*'E Balans VL '!I10/100/3.6*1000000</f>
        <v>2.8987753140121742E-2</v>
      </c>
      <c r="F9" s="33">
        <f>$C$29*('E Balans VL '!L10+'E Balans VL '!N10)/100/3.6*1000000</f>
        <v>68.778593008664814</v>
      </c>
      <c r="G9" s="34"/>
      <c r="H9" s="33"/>
      <c r="I9" s="33"/>
      <c r="J9" s="33">
        <f>$C$29*('E Balans VL '!D10+'E Balans VL '!E10)/100/3.6*1000000</f>
        <v>0</v>
      </c>
      <c r="K9" s="33"/>
      <c r="L9" s="33"/>
      <c r="M9" s="33"/>
      <c r="N9" s="33">
        <f>$C$29*'E Balans VL '!Y10/100/3.6*1000000</f>
        <v>7.1615759562622818</v>
      </c>
      <c r="O9" s="33"/>
      <c r="P9" s="33"/>
      <c r="R9" s="32"/>
    </row>
    <row r="10" spans="1:18">
      <c r="A10" s="32" t="s">
        <v>50</v>
      </c>
      <c r="B10" s="37">
        <f t="shared" si="0"/>
        <v>1516.5640404313701</v>
      </c>
      <c r="C10" s="33"/>
      <c r="D10" s="37">
        <f>IF(ISERROR(TER_ander_gas_kWh/1000),0,TER_ander_gas_kWh/1000)*0.902</f>
        <v>883.0607550215542</v>
      </c>
      <c r="E10" s="33">
        <f>$C$30*'E Balans VL '!I14/100/3.6*1000000</f>
        <v>1.8076901433523693</v>
      </c>
      <c r="F10" s="33">
        <f>$C$30*('E Balans VL '!L14+'E Balans VL '!N14)/100/3.6*1000000</f>
        <v>396.80057411861571</v>
      </c>
      <c r="G10" s="34"/>
      <c r="H10" s="33"/>
      <c r="I10" s="33"/>
      <c r="J10" s="33">
        <f>$C$30*('E Balans VL '!D14+'E Balans VL '!E14)/100/3.6*1000000</f>
        <v>3.2918660550873211E-2</v>
      </c>
      <c r="K10" s="33"/>
      <c r="L10" s="33"/>
      <c r="M10" s="33"/>
      <c r="N10" s="33">
        <f>$C$30*'E Balans VL '!Y14/100/3.6*1000000</f>
        <v>1287.8290733346078</v>
      </c>
      <c r="O10" s="33"/>
      <c r="P10" s="33"/>
      <c r="R10" s="32"/>
    </row>
    <row r="11" spans="1:18">
      <c r="A11" s="32" t="s">
        <v>55</v>
      </c>
      <c r="B11" s="37">
        <f t="shared" si="0"/>
        <v>315.04683977459302</v>
      </c>
      <c r="C11" s="33"/>
      <c r="D11" s="37">
        <f>IF(ISERROR(TER_onderwijs_gas_kWh/1000),0,TER_onderwijs_gas_kWh/1000)*0.902</f>
        <v>1091.4540469516674</v>
      </c>
      <c r="E11" s="33">
        <f>$C$31*'E Balans VL '!I11/100/3.6*1000000</f>
        <v>4.7535493810116751</v>
      </c>
      <c r="F11" s="33">
        <f>$C$31*('E Balans VL '!L11+'E Balans VL '!N11)/100/3.6*1000000</f>
        <v>55.201239351504839</v>
      </c>
      <c r="G11" s="34"/>
      <c r="H11" s="33"/>
      <c r="I11" s="33"/>
      <c r="J11" s="33">
        <f>$C$31*('E Balans VL '!D11+'E Balans VL '!E11)/100/3.6*1000000</f>
        <v>0</v>
      </c>
      <c r="K11" s="33"/>
      <c r="L11" s="33"/>
      <c r="M11" s="33"/>
      <c r="N11" s="33">
        <f>$C$31*'E Balans VL '!Y11/100/3.6*1000000</f>
        <v>0.88656575789855463</v>
      </c>
      <c r="O11" s="33"/>
      <c r="P11" s="33"/>
      <c r="R11" s="32"/>
    </row>
    <row r="12" spans="1:18">
      <c r="A12" s="32" t="s">
        <v>260</v>
      </c>
      <c r="B12" s="37">
        <f t="shared" si="0"/>
        <v>3175.7405071477497</v>
      </c>
      <c r="C12" s="33"/>
      <c r="D12" s="37">
        <f>IF(ISERROR(TER_rest_gas_kWh/1000),0,TER_rest_gas_kWh/1000)*0.902</f>
        <v>3506.684947897334</v>
      </c>
      <c r="E12" s="33">
        <f>$C$32*'E Balans VL '!I8/100/3.6*1000000</f>
        <v>39.436289607885804</v>
      </c>
      <c r="F12" s="33">
        <f>$C$32*('E Balans VL '!L8+'E Balans VL '!N8)/100/3.6*1000000</f>
        <v>549.16396583632343</v>
      </c>
      <c r="G12" s="34"/>
      <c r="H12" s="33"/>
      <c r="I12" s="33"/>
      <c r="J12" s="33">
        <f>$C$32*('E Balans VL '!D8+'E Balans VL '!E8)/100/3.6*1000000</f>
        <v>7.6901357826911695E-3</v>
      </c>
      <c r="K12" s="33"/>
      <c r="L12" s="33"/>
      <c r="M12" s="33"/>
      <c r="N12" s="33">
        <f>$C$32*'E Balans VL '!Y8/100/3.6*1000000</f>
        <v>307.50903215381595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14364.213429501822</v>
      </c>
      <c r="C16" s="21">
        <f t="shared" ca="1" si="1"/>
        <v>0</v>
      </c>
      <c r="D16" s="21">
        <f t="shared" ca="1" si="1"/>
        <v>16433.090608915583</v>
      </c>
      <c r="E16" s="21">
        <f t="shared" si="1"/>
        <v>236.32831912323101</v>
      </c>
      <c r="F16" s="21">
        <f t="shared" ca="1" si="1"/>
        <v>2572.2028774185947</v>
      </c>
      <c r="G16" s="21">
        <f t="shared" si="1"/>
        <v>0</v>
      </c>
      <c r="H16" s="21">
        <f t="shared" si="1"/>
        <v>0</v>
      </c>
      <c r="I16" s="21">
        <f t="shared" si="1"/>
        <v>0</v>
      </c>
      <c r="J16" s="21">
        <f t="shared" si="1"/>
        <v>4.060879633356438E-2</v>
      </c>
      <c r="K16" s="21">
        <f t="shared" si="1"/>
        <v>0</v>
      </c>
      <c r="L16" s="21">
        <f t="shared" ca="1" si="1"/>
        <v>0</v>
      </c>
      <c r="M16" s="21">
        <f t="shared" si="1"/>
        <v>0</v>
      </c>
      <c r="N16" s="21">
        <f t="shared" ca="1" si="1"/>
        <v>1612.9712753706767</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0.12650439337725025</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1817.1361062404794</v>
      </c>
      <c r="C20" s="23">
        <f t="shared" ref="C20:P20" ca="1" si="2">C16*C18</f>
        <v>0</v>
      </c>
      <c r="D20" s="23">
        <f t="shared" ca="1" si="2"/>
        <v>3319.4843030009479</v>
      </c>
      <c r="E20" s="23">
        <f t="shared" si="2"/>
        <v>53.646528440973441</v>
      </c>
      <c r="F20" s="23">
        <f t="shared" ca="1" si="2"/>
        <v>686.77816827076481</v>
      </c>
      <c r="G20" s="23">
        <f t="shared" si="2"/>
        <v>0</v>
      </c>
      <c r="H20" s="23">
        <f t="shared" si="2"/>
        <v>0</v>
      </c>
      <c r="I20" s="23">
        <f t="shared" si="2"/>
        <v>0</v>
      </c>
      <c r="J20" s="23">
        <f t="shared" si="2"/>
        <v>1.4375513902081789E-2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2802.2857812315001</v>
      </c>
      <c r="C26" s="39">
        <f>IF(ISERROR(B26*3.6/1000000/'E Balans VL '!Z12*100),0,B26*3.6/1000000/'E Balans VL '!Z12*100)</f>
        <v>5.9235882235981432E-2</v>
      </c>
      <c r="D26" s="237" t="s">
        <v>754</v>
      </c>
      <c r="F26" s="6"/>
    </row>
    <row r="27" spans="1:18">
      <c r="A27" s="231" t="s">
        <v>53</v>
      </c>
      <c r="B27" s="33">
        <f>IF(ISERROR(TER_horeca_ele_kWh/1000),0,TER_horeca_ele_kWh/1000)</f>
        <v>1396.6641936077699</v>
      </c>
      <c r="C27" s="39">
        <f>IF(ISERROR(B27*3.6/1000000/'E Balans VL '!Z9*100),0,B27*3.6/1000000/'E Balans VL '!Z9*100)</f>
        <v>0.11009851781877983</v>
      </c>
      <c r="D27" s="237" t="s">
        <v>754</v>
      </c>
      <c r="F27" s="6"/>
    </row>
    <row r="28" spans="1:18">
      <c r="A28" s="171" t="s">
        <v>52</v>
      </c>
      <c r="B28" s="33">
        <f>IF(ISERROR(TER_handel_ele_kWh/1000),0,TER_handel_ele_kWh/1000)</f>
        <v>4694.9219404964597</v>
      </c>
      <c r="C28" s="39">
        <f>IF(ISERROR(B28*3.6/1000000/'E Balans VL '!Z13*100),0,B28*3.6/1000000/'E Balans VL '!Z13*100)</f>
        <v>0.13626560432350748</v>
      </c>
      <c r="D28" s="237" t="s">
        <v>754</v>
      </c>
      <c r="F28" s="6"/>
    </row>
    <row r="29" spans="1:18">
      <c r="A29" s="231" t="s">
        <v>51</v>
      </c>
      <c r="B29" s="33">
        <f>IF(ISERROR(TER_gezond_ele_kWh/1000),0,TER_gezond_ele_kWh/1000)</f>
        <v>462.99012681237701</v>
      </c>
      <c r="C29" s="39">
        <f>IF(ISERROR(B29*3.6/1000000/'E Balans VL '!Z10*100),0,B29*3.6/1000000/'E Balans VL '!Z10*100)</f>
        <v>4.8760462851902137E-2</v>
      </c>
      <c r="D29" s="237" t="s">
        <v>754</v>
      </c>
      <c r="F29" s="6"/>
    </row>
    <row r="30" spans="1:18">
      <c r="A30" s="231" t="s">
        <v>50</v>
      </c>
      <c r="B30" s="33">
        <f>IF(ISERROR(TER_ander_ele_kWh/1000),0,TER_ander_ele_kWh/1000)</f>
        <v>1516.5640404313701</v>
      </c>
      <c r="C30" s="39">
        <f>IF(ISERROR(B30*3.6/1000000/'E Balans VL '!Z14*100),0,B30*3.6/1000000/'E Balans VL '!Z14*100)</f>
        <v>0.11186209301828891</v>
      </c>
      <c r="D30" s="237" t="s">
        <v>754</v>
      </c>
      <c r="F30" s="6"/>
    </row>
    <row r="31" spans="1:18">
      <c r="A31" s="231" t="s">
        <v>55</v>
      </c>
      <c r="B31" s="33">
        <f>IF(ISERROR(TER_onderwijs_ele_kWh/1000),0,TER_onderwijs_ele_kWh/1000)</f>
        <v>315.04683977459302</v>
      </c>
      <c r="C31" s="39">
        <f>IF(ISERROR(B31*3.6/1000000/'E Balans VL '!Z11*100),0,B31*3.6/1000000/'E Balans VL '!Z11*100)</f>
        <v>7.8240887979115659E-2</v>
      </c>
      <c r="D31" s="237" t="s">
        <v>754</v>
      </c>
    </row>
    <row r="32" spans="1:18">
      <c r="A32" s="231" t="s">
        <v>260</v>
      </c>
      <c r="B32" s="33">
        <f>IF(ISERROR(TER_rest_ele_kWh/1000),0,TER_rest_ele_kWh/1000)</f>
        <v>3175.7405071477497</v>
      </c>
      <c r="C32" s="39">
        <f>IF(ISERROR(B32*3.6/1000000/'E Balans VL '!Z8*100),0,B32*3.6/1000000/'E Balans VL '!Z8*100)</f>
        <v>2.6132129006805921E-2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5408.0906979792544</v>
      </c>
      <c r="C5" s="17">
        <f>IF(ISERROR('Eigen informatie GS &amp; warmtenet'!B59),0,'Eigen informatie GS &amp; warmtenet'!B59)</f>
        <v>0</v>
      </c>
      <c r="D5" s="30">
        <f>SUM(D6:D15)</f>
        <v>3876.6625369282128</v>
      </c>
      <c r="E5" s="17">
        <f>SUM(E6:E15)</f>
        <v>810.71366828830423</v>
      </c>
      <c r="F5" s="17">
        <f>SUM(F6:F15)</f>
        <v>2397.273105223725</v>
      </c>
      <c r="G5" s="18"/>
      <c r="H5" s="17"/>
      <c r="I5" s="17"/>
      <c r="J5" s="17">
        <f>SUM(J6:J15)</f>
        <v>3.4524645823441436</v>
      </c>
      <c r="K5" s="17"/>
      <c r="L5" s="17"/>
      <c r="M5" s="17"/>
      <c r="N5" s="17">
        <f>SUM(N6:N15)</f>
        <v>1264.7498704318198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1511.0501542721599</v>
      </c>
      <c r="C8" s="33"/>
      <c r="D8" s="37">
        <f>IF( ISERROR(IND_metaal_Gas_kWH/1000),0,IND_metaal_Gas_kWH/1000)*0.902</f>
        <v>596.03727739983572</v>
      </c>
      <c r="E8" s="33">
        <f>C30*'E Balans VL '!I18/100/3.6*1000000</f>
        <v>13.892646782414708</v>
      </c>
      <c r="F8" s="33">
        <f>C30*'E Balans VL '!L18/100/3.6*1000000+C30*'E Balans VL '!N18/100/3.6*1000000</f>
        <v>141.68619651869133</v>
      </c>
      <c r="G8" s="34"/>
      <c r="H8" s="33"/>
      <c r="I8" s="33"/>
      <c r="J8" s="40">
        <f>C30*'E Balans VL '!D18/100/3.6*1000000+C30*'E Balans VL '!E18/100/3.6*1000000</f>
        <v>0</v>
      </c>
      <c r="K8" s="33"/>
      <c r="L8" s="33"/>
      <c r="M8" s="33"/>
      <c r="N8" s="33">
        <f>C30*'E Balans VL '!Y18/100/3.6*1000000</f>
        <v>21.557627566228451</v>
      </c>
      <c r="O8" s="33"/>
      <c r="P8" s="33"/>
      <c r="R8" s="32"/>
    </row>
    <row r="9" spans="1:18">
      <c r="A9" s="6" t="s">
        <v>33</v>
      </c>
      <c r="B9" s="37">
        <f t="shared" si="0"/>
        <v>2541.44338851462</v>
      </c>
      <c r="C9" s="33"/>
      <c r="D9" s="37">
        <f>IF( ISERROR(IND_andere_gas_kWh/1000),0,IND_andere_gas_kWh/1000)*0.902</f>
        <v>1590.964714672846</v>
      </c>
      <c r="E9" s="33">
        <f>C31*'E Balans VL '!I19/100/3.6*1000000</f>
        <v>742.91337852992956</v>
      </c>
      <c r="F9" s="33">
        <f>C31*'E Balans VL '!L19/100/3.6*1000000+C31*'E Balans VL '!N19/100/3.6*1000000</f>
        <v>2042.2421322599505</v>
      </c>
      <c r="G9" s="34"/>
      <c r="H9" s="33"/>
      <c r="I9" s="33"/>
      <c r="J9" s="40">
        <f>C31*'E Balans VL '!D19/100/3.6*1000000+C31*'E Balans VL '!E19/100/3.6*1000000</f>
        <v>0</v>
      </c>
      <c r="K9" s="33"/>
      <c r="L9" s="33"/>
      <c r="M9" s="33"/>
      <c r="N9" s="33">
        <f>C31*'E Balans VL '!Y19/100/3.6*1000000</f>
        <v>839.73231055766098</v>
      </c>
      <c r="O9" s="33"/>
      <c r="P9" s="33"/>
      <c r="R9" s="32"/>
    </row>
    <row r="10" spans="1:18">
      <c r="A10" s="6" t="s">
        <v>41</v>
      </c>
      <c r="B10" s="37">
        <f t="shared" si="0"/>
        <v>337.09566566058402</v>
      </c>
      <c r="C10" s="33"/>
      <c r="D10" s="37">
        <f>IF( ISERROR(IND_voed_gas_kWh/1000),0,IND_voed_gas_kWh/1000)*0.902</f>
        <v>389.881339552285</v>
      </c>
      <c r="E10" s="33">
        <f>C32*'E Balans VL '!I20/100/3.6*1000000</f>
        <v>0.71313110743516617</v>
      </c>
      <c r="F10" s="33">
        <f>C32*'E Balans VL '!L20/100/3.6*1000000+C32*'E Balans VL '!N20/100/3.6*1000000</f>
        <v>21.432886755824992</v>
      </c>
      <c r="G10" s="34"/>
      <c r="H10" s="33"/>
      <c r="I10" s="33"/>
      <c r="J10" s="40">
        <f>C32*'E Balans VL '!D20/100/3.6*1000000+C32*'E Balans VL '!E20/100/3.6*1000000</f>
        <v>0</v>
      </c>
      <c r="K10" s="33"/>
      <c r="L10" s="33"/>
      <c r="M10" s="33"/>
      <c r="N10" s="33">
        <f>C32*'E Balans VL '!Y20/100/3.6*1000000</f>
        <v>23.262927471891683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56.564435576614606</v>
      </c>
      <c r="C13" s="33"/>
      <c r="D13" s="37">
        <f>IF( ISERROR(IND_papier_gas_kWh/1000),0,IND_papier_gas_kWh/1000)*0.902</f>
        <v>0</v>
      </c>
      <c r="E13" s="33">
        <f>C35*'E Balans VL '!I23/100/3.6*1000000</f>
        <v>8.0251997897223121E-2</v>
      </c>
      <c r="F13" s="33">
        <f>C35*'E Balans VL '!L23/100/3.6*1000000+C35*'E Balans VL '!N23/100/3.6*1000000</f>
        <v>1.380950568416379</v>
      </c>
      <c r="G13" s="34"/>
      <c r="H13" s="33"/>
      <c r="I13" s="33"/>
      <c r="J13" s="40">
        <f>C35*'E Balans VL '!D23/100/3.6*1000000+C35*'E Balans VL '!E23/100/3.6*1000000</f>
        <v>8.7482210212060426E-3</v>
      </c>
      <c r="K13" s="33"/>
      <c r="L13" s="33"/>
      <c r="M13" s="33"/>
      <c r="N13" s="33">
        <f>C35*'E Balans VL '!Y23/100/3.6*1000000</f>
        <v>164.41942449962377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961.93705395527604</v>
      </c>
      <c r="C15" s="33"/>
      <c r="D15" s="37">
        <f>IF( ISERROR(IND_rest_gas_kWh/1000),0,IND_rest_gas_kWh/1000)*0.902</f>
        <v>1299.7792053032463</v>
      </c>
      <c r="E15" s="33">
        <f>C37*'E Balans VL '!I15/100/3.6*1000000</f>
        <v>53.114259870627571</v>
      </c>
      <c r="F15" s="33">
        <f>C37*'E Balans VL '!L15/100/3.6*1000000+C37*'E Balans VL '!N15/100/3.6*1000000</f>
        <v>190.53093912084159</v>
      </c>
      <c r="G15" s="34"/>
      <c r="H15" s="33"/>
      <c r="I15" s="33"/>
      <c r="J15" s="40">
        <f>C37*'E Balans VL '!D15/100/3.6*1000000+C37*'E Balans VL '!E15/100/3.6*1000000</f>
        <v>3.4437163613229376</v>
      </c>
      <c r="K15" s="33"/>
      <c r="L15" s="33"/>
      <c r="M15" s="33"/>
      <c r="N15" s="33">
        <f>C37*'E Balans VL '!Y15/100/3.6*1000000</f>
        <v>215.77758033641493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5408.0906979792544</v>
      </c>
      <c r="C18" s="21">
        <f>C5+C16</f>
        <v>0</v>
      </c>
      <c r="D18" s="21">
        <f>MAX((D5+D16),0)</f>
        <v>3876.6625369282128</v>
      </c>
      <c r="E18" s="21">
        <f>MAX((E5+E16),0)</f>
        <v>810.71366828830423</v>
      </c>
      <c r="F18" s="21">
        <f>MAX((F5+F16),0)</f>
        <v>2397.273105223725</v>
      </c>
      <c r="G18" s="21"/>
      <c r="H18" s="21"/>
      <c r="I18" s="21"/>
      <c r="J18" s="21">
        <f>MAX((J5+J16),0)</f>
        <v>3.4524645823441436</v>
      </c>
      <c r="K18" s="21"/>
      <c r="L18" s="21">
        <f>MAX((L5+L16),0)</f>
        <v>0</v>
      </c>
      <c r="M18" s="21"/>
      <c r="N18" s="21">
        <f>MAX((N5+N16),0)</f>
        <v>1264.7498704318198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0.12650439337725025</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684.14723307701547</v>
      </c>
      <c r="C22" s="23">
        <f ca="1">C18*C20</f>
        <v>0</v>
      </c>
      <c r="D22" s="23">
        <f>D18*D20</f>
        <v>783.08583245949899</v>
      </c>
      <c r="E22" s="23">
        <f>E18*E20</f>
        <v>184.03200270144507</v>
      </c>
      <c r="F22" s="23">
        <f>F18*F20</f>
        <v>640.07191909473465</v>
      </c>
      <c r="G22" s="23"/>
      <c r="H22" s="23"/>
      <c r="I22" s="23"/>
      <c r="J22" s="23">
        <f>J18*J20</f>
        <v>1.2221724621498267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1511.0501542721599</v>
      </c>
      <c r="C30" s="39">
        <f>IF(ISERROR(B30*3.6/1000000/'E Balans VL '!Z18*100),0,B30*3.6/1000000/'E Balans VL '!Z18*100)</f>
        <v>8.5635086828615536E-2</v>
      </c>
      <c r="D30" s="237" t="s">
        <v>754</v>
      </c>
    </row>
    <row r="31" spans="1:18">
      <c r="A31" s="6" t="s">
        <v>33</v>
      </c>
      <c r="B31" s="37">
        <f>IF( ISERROR(IND_ander_ele_kWh/1000),0,IND_ander_ele_kWh/1000)</f>
        <v>2541.44338851462</v>
      </c>
      <c r="C31" s="39">
        <f>IF(ISERROR(B31*3.6/1000000/'E Balans VL '!Z19*100),0,B31*3.6/1000000/'E Balans VL '!Z19*100)</f>
        <v>0.11526928971693658</v>
      </c>
      <c r="D31" s="237" t="s">
        <v>754</v>
      </c>
    </row>
    <row r="32" spans="1:18">
      <c r="A32" s="171" t="s">
        <v>41</v>
      </c>
      <c r="B32" s="37">
        <f>IF( ISERROR(IND_voed_ele_kWh/1000),0,IND_voed_ele_kWh/1000)</f>
        <v>337.09566566058402</v>
      </c>
      <c r="C32" s="39">
        <f>IF(ISERROR(B32*3.6/1000000/'E Balans VL '!Z20*100),0,B32*3.6/1000000/'E Balans VL '!Z20*100)</f>
        <v>1.0427899223993583E-2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56.564435576614606</v>
      </c>
      <c r="C35" s="39">
        <f>IF(ISERROR(B35*3.6/1000000/'E Balans VL '!Z22*100),0,B35*3.6/1000000/'E Balans VL '!Z22*100)</f>
        <v>1.0174177170167916E-2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961.93705395527604</v>
      </c>
      <c r="C37" s="39">
        <f>IF(ISERROR(B37*3.6/1000000/'E Balans VL '!Z15*100),0,B37*3.6/1000000/'E Balans VL '!Z15*100)</f>
        <v>7.6245325236518951E-3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11931.099505546988</v>
      </c>
      <c r="C5" s="17">
        <f>'Eigen informatie GS &amp; warmtenet'!B60</f>
        <v>0</v>
      </c>
      <c r="D5" s="30">
        <f>IF(ISERROR(SUM(LB_lb_gas_kWh,LB_rest_gas_kWh,onbekend_gas_kWh)/1000),0,SUM(LB_lb_gas_kWh,LB_rest_gas_kWh,onbekend_gas_kWh)/1000)*0.902</f>
        <v>145269.32946001017</v>
      </c>
      <c r="E5" s="17">
        <f>B17*'E Balans VL '!I25/3.6*1000000/100</f>
        <v>350.69145625208131</v>
      </c>
      <c r="F5" s="17">
        <f>B17*('E Balans VL '!L25/3.6*1000000+'E Balans VL '!N25/3.6*1000000)/100</f>
        <v>49704.315817331466</v>
      </c>
      <c r="G5" s="18"/>
      <c r="H5" s="17"/>
      <c r="I5" s="17"/>
      <c r="J5" s="17">
        <f>('E Balans VL '!D25+'E Balans VL '!E25)/3.6*1000000*landbouw!B17/100</f>
        <v>1728.560095058918</v>
      </c>
      <c r="K5" s="17"/>
      <c r="L5" s="17">
        <f>L6*(-1)</f>
        <v>0</v>
      </c>
      <c r="M5" s="17"/>
      <c r="N5" s="17">
        <f>N6*(-1)</f>
        <v>374.14285714285711</v>
      </c>
      <c r="O5" s="17"/>
      <c r="P5" s="17"/>
      <c r="R5" s="32"/>
    </row>
    <row r="6" spans="1:18">
      <c r="A6" s="16" t="s">
        <v>488</v>
      </c>
      <c r="B6" s="17" t="s">
        <v>211</v>
      </c>
      <c r="C6" s="17">
        <f>'lokale energieproductie'!O91+'lokale energieproductie'!O60</f>
        <v>83334.21428571429</v>
      </c>
      <c r="D6" s="310">
        <f>('lokale energieproductie'!P60+'lokale energieproductie'!P91)*(-1)</f>
        <v>-166294.28571428571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11931.099505546988</v>
      </c>
      <c r="C8" s="21">
        <f>C5+C6</f>
        <v>83334.21428571429</v>
      </c>
      <c r="D8" s="21">
        <f>MAX((D5+D6),0)</f>
        <v>0</v>
      </c>
      <c r="E8" s="21">
        <f>MAX((E5+E6),0)</f>
        <v>350.69145625208131</v>
      </c>
      <c r="F8" s="21">
        <f>MAX((F5+F6),0)</f>
        <v>49704.315817331466</v>
      </c>
      <c r="G8" s="21"/>
      <c r="H8" s="21"/>
      <c r="I8" s="21"/>
      <c r="J8" s="21">
        <f>MAX((J5+J6),0)</f>
        <v>1728.560095058918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0.12650439337725025</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1509.3365052728323</v>
      </c>
      <c r="C12" s="23">
        <f ca="1">C8*C10</f>
        <v>19759.673949579828</v>
      </c>
      <c r="D12" s="23">
        <f>D8*D10</f>
        <v>0</v>
      </c>
      <c r="E12" s="23">
        <f>E8*E10</f>
        <v>79.606960569222466</v>
      </c>
      <c r="F12" s="23">
        <f>F8*F10</f>
        <v>13271.052323227503</v>
      </c>
      <c r="G12" s="23"/>
      <c r="H12" s="23"/>
      <c r="I12" s="23"/>
      <c r="J12" s="23">
        <f>J8*J10</f>
        <v>611.91027365085699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1.693060452520236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1992.1232858735384</v>
      </c>
      <c r="C26" s="247">
        <f>B26*'GWP N2O_CH4'!B5</f>
        <v>41834.589003344307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1066.6812627623065</v>
      </c>
      <c r="C27" s="247">
        <f>B27*'GWP N2O_CH4'!B5</f>
        <v>22400.306518008434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28.134731987211065</v>
      </c>
      <c r="C28" s="247">
        <f>B28*'GWP N2O_CH4'!B4</f>
        <v>8721.7669160354308</v>
      </c>
      <c r="D28" s="50"/>
    </row>
    <row r="29" spans="1:4">
      <c r="A29" s="41" t="s">
        <v>277</v>
      </c>
      <c r="B29" s="247">
        <f>B34*'ha_N2O bodem landbouw'!B4</f>
        <v>38.209523221121799</v>
      </c>
      <c r="C29" s="247">
        <f>B29*'GWP N2O_CH4'!B4</f>
        <v>11844.952198547759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8.7192815231851E-3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2.5691247746363393E-4</v>
      </c>
      <c r="C5" s="463" t="s">
        <v>211</v>
      </c>
      <c r="D5" s="448">
        <f>SUM(D6:D11)</f>
        <v>8.3466824579820471E-4</v>
      </c>
      <c r="E5" s="448">
        <f>SUM(E6:E11)</f>
        <v>1.2749529944808945E-3</v>
      </c>
      <c r="F5" s="461" t="s">
        <v>211</v>
      </c>
      <c r="G5" s="448">
        <f>SUM(G6:G11)</f>
        <v>0.60567381779130591</v>
      </c>
      <c r="H5" s="448">
        <f>SUM(H6:H11)</f>
        <v>9.6735704703549891E-2</v>
      </c>
      <c r="I5" s="463" t="s">
        <v>211</v>
      </c>
      <c r="J5" s="463" t="s">
        <v>211</v>
      </c>
      <c r="K5" s="463" t="s">
        <v>211</v>
      </c>
      <c r="L5" s="463" t="s">
        <v>211</v>
      </c>
      <c r="M5" s="448">
        <f>SUM(M6:M11)</f>
        <v>3.8258257899842565E-2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9.969142348871063E-5</v>
      </c>
      <c r="C6" s="449"/>
      <c r="D6" s="962">
        <f>vkm_2011_GW_PW*SUMIFS(TableVerdeelsleutelVkm[CNG],TableVerdeelsleutelVkm[Voertuigtype],"Lichte voertuigen")*SUMIFS(TableECFTransport[EnergieConsumptieFactor (PJ per km)],TableECFTransport[Index],CONCATENATE($A6,"_CNG_CNG"))</f>
        <v>2.9901705279362532E-4</v>
      </c>
      <c r="E6" s="962">
        <f>vkm_2011_GW_PW*SUMIFS(TableVerdeelsleutelVkm[LPG],TableVerdeelsleutelVkm[Voertuigtype],"Lichte voertuigen")*SUMIFS(TableECFTransport[EnergieConsumptieFactor (PJ per km)],TableECFTransport[Index],CONCATENATE($A6,"_LPG_LPG"))</f>
        <v>4.0850024579897022E-4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0.10561943762129485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3.4003800585157951E-2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7.1799936760298874E-3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4.8776572383048306E-2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1.486350794126332E-5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2.8503409274270629E-3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1.9296737019903738E-5</v>
      </c>
      <c r="C8" s="449"/>
      <c r="D8" s="451">
        <f>vkm_2011_NGW_PW*SUMIFS(TableVerdeelsleutelVkm[CNG],TableVerdeelsleutelVkm[Voertuigtype],"Lichte voertuigen")*SUMIFS(TableECFTransport[EnergieConsumptieFactor (PJ per km)],TableECFTransport[Index],CONCATENATE($A8,"_CNG_CNG"))</f>
        <v>1.0290975172875258E-4</v>
      </c>
      <c r="E8" s="451">
        <f>vkm_2011_NGW_PW*SUMIFS(TableVerdeelsleutelVkm[LPG],TableVerdeelsleutelVkm[Voertuigtype],"Lichte voertuigen")*SUMIFS(TableECFTransport[EnergieConsumptieFactor (PJ per km)],TableECFTransport[Index],CONCATENATE($A8,"_LPG_LPG"))</f>
        <v>1.3020183311722206E-4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3.1371496200593027E-2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1.1372512564412546E-2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2.170387093086955E-3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4.2316412795882679E-3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1.2139459147314416E-6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2.4728082372401511E-4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1.3792431695501954E-4</v>
      </c>
      <c r="C10" s="449"/>
      <c r="D10" s="451">
        <f>vkm_2011_SW_PW*SUMIFS(TableVerdeelsleutelVkm[CNG],TableVerdeelsleutelVkm[Voertuigtype],"Lichte voertuigen")*SUMIFS(TableECFTransport[EnergieConsumptieFactor (PJ per km)],TableECFTransport[Index],CONCATENATE($A10,"_CNG_CNG"))</f>
        <v>4.3274144127582675E-4</v>
      </c>
      <c r="E10" s="451">
        <f>vkm_2011_SW_PW*SUMIFS(TableVerdeelsleutelVkm[LPG],TableVerdeelsleutelVkm[Voertuigtype],"Lichte voertuigen")*SUMIFS(TableECFTransport[EnergieConsumptieFactor (PJ per km)],TableECFTransport[Index],CONCATENATE($A10,"_LPG_LPG"))</f>
        <v>7.3625091556470232E-4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0.16970750415958694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5.1262373446773597E-2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1.1436573259786274E-2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0.24596716614719452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8.0940653349810635E-5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1.4373682119788374E-2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71.364577073231644</v>
      </c>
      <c r="C14" s="21"/>
      <c r="D14" s="21">
        <f t="shared" ref="D14:M14" si="0">((D5)*10^9/3600)+D12</f>
        <v>231.85229049950129</v>
      </c>
      <c r="E14" s="21">
        <f t="shared" si="0"/>
        <v>354.15360957802631</v>
      </c>
      <c r="F14" s="21"/>
      <c r="G14" s="21">
        <f t="shared" si="0"/>
        <v>168242.72716425164</v>
      </c>
      <c r="H14" s="21">
        <f t="shared" si="0"/>
        <v>26871.029084319416</v>
      </c>
      <c r="I14" s="21"/>
      <c r="J14" s="21"/>
      <c r="K14" s="21"/>
      <c r="L14" s="21"/>
      <c r="M14" s="21">
        <f t="shared" si="0"/>
        <v>10627.293861067379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0.12650439337725025</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9.0279325312731906</v>
      </c>
      <c r="C18" s="23"/>
      <c r="D18" s="23">
        <f t="shared" ref="D18:M18" si="1">D14*D16</f>
        <v>46.834162680899261</v>
      </c>
      <c r="E18" s="23">
        <f t="shared" si="1"/>
        <v>80.392869374211969</v>
      </c>
      <c r="F18" s="23"/>
      <c r="G18" s="23">
        <f t="shared" si="1"/>
        <v>44920.808152855192</v>
      </c>
      <c r="H18" s="23">
        <f t="shared" si="1"/>
        <v>6690.8862419955349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6.7531374563878617E-3</v>
      </c>
      <c r="H50" s="321">
        <f t="shared" si="2"/>
        <v>0</v>
      </c>
      <c r="I50" s="321">
        <f t="shared" si="2"/>
        <v>0</v>
      </c>
      <c r="J50" s="321">
        <f t="shared" si="2"/>
        <v>0</v>
      </c>
      <c r="K50" s="321">
        <f t="shared" si="2"/>
        <v>0</v>
      </c>
      <c r="L50" s="321">
        <f t="shared" si="2"/>
        <v>0</v>
      </c>
      <c r="M50" s="321">
        <f t="shared" si="2"/>
        <v>3.8354839528169382E-4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6.7531374563878617E-3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3.8354839528169382E-4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1875.871515663295</v>
      </c>
      <c r="H54" s="21">
        <f t="shared" si="3"/>
        <v>0</v>
      </c>
      <c r="I54" s="21">
        <f t="shared" si="3"/>
        <v>0</v>
      </c>
      <c r="J54" s="21">
        <f t="shared" si="3"/>
        <v>0</v>
      </c>
      <c r="K54" s="21">
        <f t="shared" si="3"/>
        <v>0</v>
      </c>
      <c r="L54" s="21">
        <f t="shared" si="3"/>
        <v>0</v>
      </c>
      <c r="M54" s="21">
        <f t="shared" si="3"/>
        <v>106.54122091158162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0.12650439337725025</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500.8576946820998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41508.720472288747</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9495.6014678642823</v>
      </c>
      <c r="C6" s="1263"/>
      <c r="D6" s="1248"/>
      <c r="E6" s="1248"/>
      <c r="F6" s="1266"/>
      <c r="G6" s="1269"/>
      <c r="H6" s="1260"/>
      <c r="I6" s="1248"/>
      <c r="J6" s="1248"/>
      <c r="K6" s="1248"/>
      <c r="L6" s="1252"/>
      <c r="M6" s="575"/>
      <c r="N6" s="1226"/>
      <c r="O6" s="1227"/>
      <c r="Q6" s="573"/>
      <c r="R6" s="1214"/>
      <c r="S6" s="1214"/>
    </row>
    <row r="7" spans="1:19" s="563" customFormat="1">
      <c r="A7" s="576" t="s">
        <v>252</v>
      </c>
      <c r="B7" s="577">
        <f>N57</f>
        <v>58333.950000000004</v>
      </c>
      <c r="C7" s="578">
        <f>B100</f>
        <v>68474.117647058825</v>
      </c>
      <c r="D7" s="579"/>
      <c r="E7" s="579">
        <f>E100</f>
        <v>0</v>
      </c>
      <c r="F7" s="580"/>
      <c r="G7" s="581"/>
      <c r="H7" s="579">
        <f>I100</f>
        <v>0</v>
      </c>
      <c r="I7" s="579">
        <f>G100+F100</f>
        <v>0</v>
      </c>
      <c r="J7" s="579">
        <f>H100+D100+C100</f>
        <v>154.05882352941174</v>
      </c>
      <c r="K7" s="579"/>
      <c r="L7" s="582"/>
      <c r="M7" s="583">
        <f>C7*$C$11+D7*$D$11+E7*$E$11+F7*$F$11+G7*$G$11+H7*$H$11+I7*$I$11+J7*$J$11</f>
        <v>13831.771764705883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109338.27194015303</v>
      </c>
      <c r="C9" s="594">
        <f t="shared" ref="C9:L9" si="0">SUM(C7:C8)</f>
        <v>68474.117647058825</v>
      </c>
      <c r="D9" s="594">
        <f t="shared" si="0"/>
        <v>0</v>
      </c>
      <c r="E9" s="594">
        <f t="shared" si="0"/>
        <v>0</v>
      </c>
      <c r="F9" s="594">
        <f t="shared" si="0"/>
        <v>0</v>
      </c>
      <c r="G9" s="594">
        <f t="shared" si="0"/>
        <v>0</v>
      </c>
      <c r="H9" s="594">
        <f t="shared" si="0"/>
        <v>0</v>
      </c>
      <c r="I9" s="594">
        <f t="shared" si="0"/>
        <v>0</v>
      </c>
      <c r="J9" s="594">
        <f t="shared" si="0"/>
        <v>154.05882352941174</v>
      </c>
      <c r="K9" s="594">
        <f t="shared" si="0"/>
        <v>0</v>
      </c>
      <c r="L9" s="594">
        <f t="shared" si="0"/>
        <v>0</v>
      </c>
      <c r="M9" s="595">
        <f>SUM(M4:M8)</f>
        <v>13831.771764705883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83334.21428571429</v>
      </c>
      <c r="C16" s="610">
        <f>B101</f>
        <v>97820.16806722687</v>
      </c>
      <c r="D16" s="611"/>
      <c r="E16" s="611">
        <f>E101</f>
        <v>0</v>
      </c>
      <c r="F16" s="612"/>
      <c r="G16" s="613"/>
      <c r="H16" s="610">
        <f>I101</f>
        <v>0</v>
      </c>
      <c r="I16" s="611">
        <f>G101+F101</f>
        <v>0</v>
      </c>
      <c r="J16" s="611">
        <f>H101+D101+C101</f>
        <v>220.08403361344531</v>
      </c>
      <c r="K16" s="611"/>
      <c r="L16" s="614"/>
      <c r="M16" s="615">
        <f>C16*$C$21+E16*$E$21+H16*$H$21+I16*$I$21+J16*$J$21+D16*$D$21+F16*$F$21+G16*$G$21+K16*$K$21+L16*$L$21</f>
        <v>19759.673949579828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83334.21428571429</v>
      </c>
      <c r="C19" s="593">
        <f>SUM(C16:C18)</f>
        <v>97820.16806722687</v>
      </c>
      <c r="D19" s="593">
        <f t="shared" ref="D19:M19" si="1">SUM(D16:D18)</f>
        <v>0</v>
      </c>
      <c r="E19" s="593">
        <f t="shared" si="1"/>
        <v>0</v>
      </c>
      <c r="F19" s="593">
        <f t="shared" si="1"/>
        <v>0</v>
      </c>
      <c r="G19" s="593">
        <f t="shared" si="1"/>
        <v>0</v>
      </c>
      <c r="H19" s="593">
        <f t="shared" si="1"/>
        <v>0</v>
      </c>
      <c r="I19" s="593">
        <f t="shared" si="1"/>
        <v>0</v>
      </c>
      <c r="J19" s="593">
        <f t="shared" si="1"/>
        <v>220.08403361344531</v>
      </c>
      <c r="K19" s="593">
        <f t="shared" si="1"/>
        <v>0</v>
      </c>
      <c r="L19" s="593">
        <f t="shared" si="1"/>
        <v>0</v>
      </c>
      <c r="M19" s="620">
        <f t="shared" si="1"/>
        <v>19759.673949579828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11053</v>
      </c>
      <c r="C27" s="851">
        <v>2990</v>
      </c>
      <c r="D27" s="672" t="s">
        <v>844</v>
      </c>
      <c r="E27" s="671" t="s">
        <v>845</v>
      </c>
      <c r="F27" s="671" t="s">
        <v>846</v>
      </c>
      <c r="G27" s="671" t="s">
        <v>847</v>
      </c>
      <c r="H27" s="671" t="s">
        <v>848</v>
      </c>
      <c r="I27" s="671" t="s">
        <v>845</v>
      </c>
      <c r="J27" s="850">
        <v>40259</v>
      </c>
      <c r="K27" s="850">
        <v>39255</v>
      </c>
      <c r="L27" s="671" t="s">
        <v>849</v>
      </c>
      <c r="M27" s="671">
        <v>3435</v>
      </c>
      <c r="N27" s="671">
        <v>15457.5</v>
      </c>
      <c r="O27" s="671">
        <v>22082.142857142859</v>
      </c>
      <c r="P27" s="671">
        <v>44164.285714285717</v>
      </c>
      <c r="Q27" s="671">
        <v>0</v>
      </c>
      <c r="R27" s="671">
        <v>0</v>
      </c>
      <c r="S27" s="671">
        <v>0</v>
      </c>
      <c r="T27" s="671">
        <v>0</v>
      </c>
      <c r="U27" s="671">
        <v>0</v>
      </c>
      <c r="V27" s="671">
        <v>0</v>
      </c>
      <c r="W27" s="671">
        <v>0</v>
      </c>
      <c r="X27" s="671">
        <v>10</v>
      </c>
      <c r="Y27" s="671" t="s">
        <v>112</v>
      </c>
      <c r="Z27" s="673" t="s">
        <v>112</v>
      </c>
    </row>
    <row r="28" spans="1:26" s="625" customFormat="1" ht="25.5">
      <c r="A28" s="624"/>
      <c r="B28" s="851">
        <v>11053</v>
      </c>
      <c r="C28" s="851">
        <v>2990</v>
      </c>
      <c r="D28" s="672" t="s">
        <v>850</v>
      </c>
      <c r="E28" s="671" t="s">
        <v>851</v>
      </c>
      <c r="F28" s="671" t="s">
        <v>852</v>
      </c>
      <c r="G28" s="671" t="s">
        <v>847</v>
      </c>
      <c r="H28" s="671" t="s">
        <v>848</v>
      </c>
      <c r="I28" s="671" t="s">
        <v>851</v>
      </c>
      <c r="J28" s="850">
        <v>39623</v>
      </c>
      <c r="K28" s="850">
        <v>39623</v>
      </c>
      <c r="L28" s="671" t="s">
        <v>849</v>
      </c>
      <c r="M28" s="671">
        <v>5140</v>
      </c>
      <c r="N28" s="671">
        <v>23130</v>
      </c>
      <c r="O28" s="671">
        <v>33042.857142857145</v>
      </c>
      <c r="P28" s="671">
        <v>66085.71428571429</v>
      </c>
      <c r="Q28" s="671">
        <v>0</v>
      </c>
      <c r="R28" s="671">
        <v>0</v>
      </c>
      <c r="S28" s="671">
        <v>0</v>
      </c>
      <c r="T28" s="671">
        <v>0</v>
      </c>
      <c r="U28" s="671">
        <v>0</v>
      </c>
      <c r="V28" s="671">
        <v>0</v>
      </c>
      <c r="W28" s="671">
        <v>0</v>
      </c>
      <c r="X28" s="671">
        <v>10</v>
      </c>
      <c r="Y28" s="671" t="s">
        <v>112</v>
      </c>
      <c r="Z28" s="673" t="s">
        <v>112</v>
      </c>
    </row>
    <row r="29" spans="1:26" s="625" customFormat="1" ht="25.5">
      <c r="A29" s="624"/>
      <c r="B29" s="851">
        <v>11053</v>
      </c>
      <c r="C29" s="851">
        <v>2990</v>
      </c>
      <c r="D29" s="672" t="s">
        <v>853</v>
      </c>
      <c r="E29" s="671" t="s">
        <v>854</v>
      </c>
      <c r="F29" s="671" t="s">
        <v>855</v>
      </c>
      <c r="G29" s="671" t="s">
        <v>847</v>
      </c>
      <c r="H29" s="671" t="s">
        <v>848</v>
      </c>
      <c r="I29" s="671" t="s">
        <v>854</v>
      </c>
      <c r="J29" s="850">
        <v>39798</v>
      </c>
      <c r="K29" s="850">
        <v>39798</v>
      </c>
      <c r="L29" s="671" t="s">
        <v>849</v>
      </c>
      <c r="M29" s="671">
        <v>1558</v>
      </c>
      <c r="N29" s="671">
        <v>7011</v>
      </c>
      <c r="O29" s="671">
        <v>10015.714285714286</v>
      </c>
      <c r="P29" s="671">
        <v>20031.428571428572</v>
      </c>
      <c r="Q29" s="671">
        <v>0</v>
      </c>
      <c r="R29" s="671">
        <v>0</v>
      </c>
      <c r="S29" s="671">
        <v>0</v>
      </c>
      <c r="T29" s="671">
        <v>0</v>
      </c>
      <c r="U29" s="671">
        <v>0</v>
      </c>
      <c r="V29" s="671">
        <v>0</v>
      </c>
      <c r="W29" s="671">
        <v>0</v>
      </c>
      <c r="X29" s="671">
        <v>10</v>
      </c>
      <c r="Y29" s="671" t="s">
        <v>112</v>
      </c>
      <c r="Z29" s="673" t="s">
        <v>112</v>
      </c>
    </row>
    <row r="30" spans="1:26" s="625" customFormat="1" ht="25.5">
      <c r="A30" s="624"/>
      <c r="B30" s="851">
        <v>11053</v>
      </c>
      <c r="C30" s="851">
        <v>2990</v>
      </c>
      <c r="D30" s="672" t="s">
        <v>856</v>
      </c>
      <c r="E30" s="671" t="s">
        <v>857</v>
      </c>
      <c r="F30" s="671" t="s">
        <v>858</v>
      </c>
      <c r="G30" s="671" t="s">
        <v>847</v>
      </c>
      <c r="H30" s="671" t="s">
        <v>848</v>
      </c>
      <c r="I30" s="671" t="s">
        <v>859</v>
      </c>
      <c r="J30" s="850">
        <v>39778</v>
      </c>
      <c r="K30" s="850">
        <v>39806</v>
      </c>
      <c r="L30" s="671" t="s">
        <v>849</v>
      </c>
      <c r="M30" s="671">
        <v>801</v>
      </c>
      <c r="N30" s="671">
        <v>3604.5</v>
      </c>
      <c r="O30" s="671">
        <v>5149.2857142857147</v>
      </c>
      <c r="P30" s="671">
        <v>10298.571428571429</v>
      </c>
      <c r="Q30" s="671">
        <v>0</v>
      </c>
      <c r="R30" s="671">
        <v>0</v>
      </c>
      <c r="S30" s="671">
        <v>0</v>
      </c>
      <c r="T30" s="671">
        <v>0</v>
      </c>
      <c r="U30" s="671">
        <v>0</v>
      </c>
      <c r="V30" s="671">
        <v>0</v>
      </c>
      <c r="W30" s="671">
        <v>0</v>
      </c>
      <c r="X30" s="671">
        <v>10</v>
      </c>
      <c r="Y30" s="671" t="s">
        <v>112</v>
      </c>
      <c r="Z30" s="673" t="s">
        <v>112</v>
      </c>
    </row>
    <row r="31" spans="1:26" s="625" customFormat="1" ht="25.5">
      <c r="A31" s="624"/>
      <c r="B31" s="851">
        <v>11053</v>
      </c>
      <c r="C31" s="851">
        <v>2990</v>
      </c>
      <c r="D31" s="672" t="s">
        <v>860</v>
      </c>
      <c r="E31" s="671" t="s">
        <v>861</v>
      </c>
      <c r="F31" s="671" t="s">
        <v>862</v>
      </c>
      <c r="G31" s="671" t="s">
        <v>847</v>
      </c>
      <c r="H31" s="671" t="s">
        <v>848</v>
      </c>
      <c r="I31" s="671" t="s">
        <v>861</v>
      </c>
      <c r="J31" s="850">
        <v>40941</v>
      </c>
      <c r="K31" s="850">
        <v>40941</v>
      </c>
      <c r="L31" s="671" t="s">
        <v>849</v>
      </c>
      <c r="M31" s="671">
        <v>2000</v>
      </c>
      <c r="N31" s="671">
        <v>9000</v>
      </c>
      <c r="O31" s="671">
        <v>12857.142857142857</v>
      </c>
      <c r="P31" s="671">
        <v>25714.285714285717</v>
      </c>
      <c r="Q31" s="671">
        <v>0</v>
      </c>
      <c r="R31" s="671">
        <v>0</v>
      </c>
      <c r="S31" s="671">
        <v>0</v>
      </c>
      <c r="T31" s="671">
        <v>0</v>
      </c>
      <c r="U31" s="671">
        <v>0</v>
      </c>
      <c r="V31" s="671">
        <v>0</v>
      </c>
      <c r="W31" s="671">
        <v>0</v>
      </c>
      <c r="X31" s="671">
        <v>10</v>
      </c>
      <c r="Y31" s="671" t="s">
        <v>112</v>
      </c>
      <c r="Z31" s="673" t="s">
        <v>112</v>
      </c>
    </row>
    <row r="32" spans="1:26" s="625" customFormat="1" ht="25.5">
      <c r="A32" s="624"/>
      <c r="B32" s="851">
        <v>11053</v>
      </c>
      <c r="C32" s="851">
        <v>2990</v>
      </c>
      <c r="D32" s="672" t="s">
        <v>863</v>
      </c>
      <c r="E32" s="671" t="s">
        <v>864</v>
      </c>
      <c r="F32" s="671" t="s">
        <v>865</v>
      </c>
      <c r="G32" s="671" t="s">
        <v>847</v>
      </c>
      <c r="H32" s="671" t="s">
        <v>848</v>
      </c>
      <c r="I32" s="671" t="s">
        <v>866</v>
      </c>
      <c r="J32" s="850">
        <v>41086</v>
      </c>
      <c r="K32" s="850">
        <v>41214</v>
      </c>
      <c r="L32" s="671" t="s">
        <v>849</v>
      </c>
      <c r="M32" s="671">
        <v>9.6999999999999993</v>
      </c>
      <c r="N32" s="671">
        <v>43.649999999999991</v>
      </c>
      <c r="O32" s="671">
        <v>62.357142857142847</v>
      </c>
      <c r="P32" s="671">
        <v>0</v>
      </c>
      <c r="Q32" s="671">
        <v>124.71428571428569</v>
      </c>
      <c r="R32" s="671">
        <v>0</v>
      </c>
      <c r="S32" s="671">
        <v>0</v>
      </c>
      <c r="T32" s="671">
        <v>0</v>
      </c>
      <c r="U32" s="671">
        <v>0</v>
      </c>
      <c r="V32" s="671">
        <v>0</v>
      </c>
      <c r="W32" s="671">
        <v>0</v>
      </c>
      <c r="X32" s="671">
        <v>10</v>
      </c>
      <c r="Y32" s="671" t="s">
        <v>112</v>
      </c>
      <c r="Z32" s="673" t="s">
        <v>112</v>
      </c>
    </row>
    <row r="33" spans="1:26" s="625" customFormat="1" ht="25.5">
      <c r="A33" s="624"/>
      <c r="B33" s="851">
        <v>11053</v>
      </c>
      <c r="C33" s="851">
        <v>2990</v>
      </c>
      <c r="D33" s="672" t="s">
        <v>863</v>
      </c>
      <c r="E33" s="671" t="s">
        <v>864</v>
      </c>
      <c r="F33" s="671" t="s">
        <v>867</v>
      </c>
      <c r="G33" s="671" t="s">
        <v>847</v>
      </c>
      <c r="H33" s="671" t="s">
        <v>848</v>
      </c>
      <c r="I33" s="671" t="s">
        <v>868</v>
      </c>
      <c r="J33" s="850">
        <v>41086</v>
      </c>
      <c r="K33" s="850">
        <v>41244</v>
      </c>
      <c r="L33" s="671" t="s">
        <v>849</v>
      </c>
      <c r="M33" s="671">
        <v>9.6999999999999993</v>
      </c>
      <c r="N33" s="671">
        <v>43.649999999999991</v>
      </c>
      <c r="O33" s="671">
        <v>62.357142857142847</v>
      </c>
      <c r="P33" s="671">
        <v>0</v>
      </c>
      <c r="Q33" s="671">
        <v>124.71428571428569</v>
      </c>
      <c r="R33" s="671">
        <v>0</v>
      </c>
      <c r="S33" s="671">
        <v>0</v>
      </c>
      <c r="T33" s="671">
        <v>0</v>
      </c>
      <c r="U33" s="671">
        <v>0</v>
      </c>
      <c r="V33" s="671">
        <v>0</v>
      </c>
      <c r="W33" s="671">
        <v>0</v>
      </c>
      <c r="X33" s="671">
        <v>10</v>
      </c>
      <c r="Y33" s="671" t="s">
        <v>112</v>
      </c>
      <c r="Z33" s="673" t="s">
        <v>112</v>
      </c>
    </row>
    <row r="34" spans="1:26" s="625" customFormat="1" ht="25.5">
      <c r="A34" s="624"/>
      <c r="B34" s="851">
        <v>11053</v>
      </c>
      <c r="C34" s="851">
        <v>2990</v>
      </c>
      <c r="D34" s="672" t="s">
        <v>863</v>
      </c>
      <c r="E34" s="671" t="s">
        <v>864</v>
      </c>
      <c r="F34" s="671" t="s">
        <v>869</v>
      </c>
      <c r="G34" s="671" t="s">
        <v>847</v>
      </c>
      <c r="H34" s="671" t="s">
        <v>848</v>
      </c>
      <c r="I34" s="671" t="s">
        <v>870</v>
      </c>
      <c r="J34" s="850">
        <v>41086</v>
      </c>
      <c r="K34" s="850">
        <v>41244</v>
      </c>
      <c r="L34" s="671" t="s">
        <v>849</v>
      </c>
      <c r="M34" s="671">
        <v>9.6999999999999993</v>
      </c>
      <c r="N34" s="671">
        <v>43.649999999999991</v>
      </c>
      <c r="O34" s="671">
        <v>62.357142857142847</v>
      </c>
      <c r="P34" s="671">
        <v>0</v>
      </c>
      <c r="Q34" s="671">
        <v>124.71428571428569</v>
      </c>
      <c r="R34" s="671">
        <v>0</v>
      </c>
      <c r="S34" s="671">
        <v>0</v>
      </c>
      <c r="T34" s="671">
        <v>0</v>
      </c>
      <c r="U34" s="671">
        <v>0</v>
      </c>
      <c r="V34" s="671">
        <v>0</v>
      </c>
      <c r="W34" s="671">
        <v>0</v>
      </c>
      <c r="X34" s="671">
        <v>10</v>
      </c>
      <c r="Y34" s="671" t="s">
        <v>112</v>
      </c>
      <c r="Z34" s="673" t="s">
        <v>112</v>
      </c>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12963.100000000002</v>
      </c>
      <c r="N57" s="629">
        <f>SUM(N27:N56)</f>
        <v>58333.950000000004</v>
      </c>
      <c r="O57" s="629">
        <f t="shared" ref="O57:W57" si="2">SUM(O27:O56)</f>
        <v>83334.21428571429</v>
      </c>
      <c r="P57" s="629">
        <f t="shared" si="2"/>
        <v>166294.28571428571</v>
      </c>
      <c r="Q57" s="629">
        <f t="shared" si="2"/>
        <v>374.14285714285711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12963.100000000002</v>
      </c>
      <c r="N60" s="634">
        <f t="shared" ref="N60:W60" si="4">SUMIF($Z$27:$Z$56,"landbouw",N27:N56)</f>
        <v>58333.950000000004</v>
      </c>
      <c r="O60" s="634">
        <f t="shared" si="4"/>
        <v>83334.21428571429</v>
      </c>
      <c r="P60" s="634">
        <f t="shared" si="4"/>
        <v>166294.28571428571</v>
      </c>
      <c r="Q60" s="634">
        <f t="shared" si="4"/>
        <v>374.14285714285711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68474.117647058825</v>
      </c>
      <c r="C100" s="663">
        <f t="shared" si="9"/>
        <v>154.05882352941174</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97820.16806722687</v>
      </c>
      <c r="C101" s="666">
        <f t="shared" ref="C101:H101" si="10">$B$97*Q57</f>
        <v>220.08403361344531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15709.790429501822</v>
      </c>
      <c r="D10" s="718">
        <f ca="1">tertiair!C16</f>
        <v>0</v>
      </c>
      <c r="E10" s="718">
        <f ca="1">tertiair!D16</f>
        <v>16433.090608915583</v>
      </c>
      <c r="F10" s="718">
        <f>tertiair!E16</f>
        <v>236.32831912323101</v>
      </c>
      <c r="G10" s="718">
        <f ca="1">tertiair!F16</f>
        <v>2572.2028774185947</v>
      </c>
      <c r="H10" s="718">
        <f>tertiair!G16</f>
        <v>0</v>
      </c>
      <c r="I10" s="718">
        <f>tertiair!H16</f>
        <v>0</v>
      </c>
      <c r="J10" s="718">
        <f>tertiair!I16</f>
        <v>0</v>
      </c>
      <c r="K10" s="718">
        <f>tertiair!J16</f>
        <v>4.060879633356438E-2</v>
      </c>
      <c r="L10" s="718">
        <f>tertiair!K16</f>
        <v>0</v>
      </c>
      <c r="M10" s="718">
        <f ca="1">tertiair!L16</f>
        <v>0</v>
      </c>
      <c r="N10" s="718">
        <f>tertiair!M16</f>
        <v>0</v>
      </c>
      <c r="O10" s="718">
        <f ca="1">tertiair!N16</f>
        <v>1612.9712753706767</v>
      </c>
      <c r="P10" s="718">
        <f>tertiair!O16</f>
        <v>3.1266666666666669</v>
      </c>
      <c r="Q10" s="719">
        <f>tertiair!P16</f>
        <v>76.266666666666666</v>
      </c>
      <c r="R10" s="721">
        <f ca="1">SUM(C10:Q10)</f>
        <v>36643.817452459574</v>
      </c>
      <c r="S10" s="67"/>
    </row>
    <row r="11" spans="1:19" s="474" customFormat="1">
      <c r="A11" s="870" t="s">
        <v>225</v>
      </c>
      <c r="B11" s="875"/>
      <c r="C11" s="718">
        <f>huishoudens!B8</f>
        <v>38966.048489191693</v>
      </c>
      <c r="D11" s="718">
        <f>huishoudens!C8</f>
        <v>0</v>
      </c>
      <c r="E11" s="718">
        <f>huishoudens!D8</f>
        <v>84017.881184487356</v>
      </c>
      <c r="F11" s="718">
        <f>huishoudens!E8</f>
        <v>10121.793874083412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27264.230795329349</v>
      </c>
      <c r="P11" s="718">
        <f>huishoudens!O8</f>
        <v>315.79333333333335</v>
      </c>
      <c r="Q11" s="719">
        <f>huishoudens!P8</f>
        <v>2173.6</v>
      </c>
      <c r="R11" s="721">
        <f>SUM(C11:Q11)</f>
        <v>162859.34767642515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5408.0906979792544</v>
      </c>
      <c r="D13" s="718">
        <f>industrie!C18</f>
        <v>0</v>
      </c>
      <c r="E13" s="718">
        <f>industrie!D18</f>
        <v>3876.6625369282128</v>
      </c>
      <c r="F13" s="718">
        <f>industrie!E18</f>
        <v>810.71366828830423</v>
      </c>
      <c r="G13" s="718">
        <f>industrie!F18</f>
        <v>2397.273105223725</v>
      </c>
      <c r="H13" s="718">
        <f>industrie!G18</f>
        <v>0</v>
      </c>
      <c r="I13" s="718">
        <f>industrie!H18</f>
        <v>0</v>
      </c>
      <c r="J13" s="718">
        <f>industrie!I18</f>
        <v>0</v>
      </c>
      <c r="K13" s="718">
        <f>industrie!J18</f>
        <v>3.4524645823441436</v>
      </c>
      <c r="L13" s="718">
        <f>industrie!K18</f>
        <v>0</v>
      </c>
      <c r="M13" s="718">
        <f>industrie!L18</f>
        <v>0</v>
      </c>
      <c r="N13" s="718">
        <f>industrie!M18</f>
        <v>0</v>
      </c>
      <c r="O13" s="718">
        <f>industrie!N18</f>
        <v>1264.7498704318198</v>
      </c>
      <c r="P13" s="718">
        <f>industrie!O18</f>
        <v>0</v>
      </c>
      <c r="Q13" s="719">
        <f>industrie!P18</f>
        <v>0</v>
      </c>
      <c r="R13" s="721">
        <f>SUM(C13:Q13)</f>
        <v>13760.942343433662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60083.929616672773</v>
      </c>
      <c r="D15" s="723">
        <f t="shared" ref="D15:Q15" ca="1" si="0">SUM(D9:D14)</f>
        <v>0</v>
      </c>
      <c r="E15" s="723">
        <f t="shared" ca="1" si="0"/>
        <v>104327.63433033116</v>
      </c>
      <c r="F15" s="723">
        <f t="shared" si="0"/>
        <v>11168.835861494948</v>
      </c>
      <c r="G15" s="723">
        <f t="shared" ca="1" si="0"/>
        <v>4969.4759826423197</v>
      </c>
      <c r="H15" s="723">
        <f t="shared" si="0"/>
        <v>0</v>
      </c>
      <c r="I15" s="723">
        <f t="shared" si="0"/>
        <v>0</v>
      </c>
      <c r="J15" s="723">
        <f t="shared" si="0"/>
        <v>0</v>
      </c>
      <c r="K15" s="723">
        <f t="shared" si="0"/>
        <v>3.4930733786777077</v>
      </c>
      <c r="L15" s="723">
        <f t="shared" si="0"/>
        <v>0</v>
      </c>
      <c r="M15" s="723">
        <f t="shared" ca="1" si="0"/>
        <v>0</v>
      </c>
      <c r="N15" s="723">
        <f t="shared" si="0"/>
        <v>0</v>
      </c>
      <c r="O15" s="723">
        <f t="shared" ca="1" si="0"/>
        <v>30141.951941131847</v>
      </c>
      <c r="P15" s="723">
        <f t="shared" si="0"/>
        <v>318.92</v>
      </c>
      <c r="Q15" s="724">
        <f t="shared" si="0"/>
        <v>2249.8666666666668</v>
      </c>
      <c r="R15" s="725">
        <f ca="1">SUM(R9:R14)</f>
        <v>213264.10747231837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1875.871515663295</v>
      </c>
      <c r="I18" s="718">
        <f>transport!H54</f>
        <v>0</v>
      </c>
      <c r="J18" s="718">
        <f>transport!I54</f>
        <v>0</v>
      </c>
      <c r="K18" s="718">
        <f>transport!J54</f>
        <v>0</v>
      </c>
      <c r="L18" s="718">
        <f>transport!K54</f>
        <v>0</v>
      </c>
      <c r="M18" s="718">
        <f>transport!L54</f>
        <v>0</v>
      </c>
      <c r="N18" s="718">
        <f>transport!M54</f>
        <v>106.54122091158162</v>
      </c>
      <c r="O18" s="718">
        <f>transport!N54</f>
        <v>0</v>
      </c>
      <c r="P18" s="718">
        <f>transport!O54</f>
        <v>0</v>
      </c>
      <c r="Q18" s="719">
        <f>transport!P54</f>
        <v>0</v>
      </c>
      <c r="R18" s="721">
        <f>SUM(C18:Q18)</f>
        <v>1982.4127365748766</v>
      </c>
      <c r="S18" s="67"/>
    </row>
    <row r="19" spans="1:19" s="474" customFormat="1" ht="15" thickBot="1">
      <c r="A19" s="870" t="s">
        <v>307</v>
      </c>
      <c r="B19" s="875"/>
      <c r="C19" s="727">
        <f>transport!B14</f>
        <v>71.364577073231644</v>
      </c>
      <c r="D19" s="727">
        <f>transport!C14</f>
        <v>0</v>
      </c>
      <c r="E19" s="727">
        <f>transport!D14</f>
        <v>231.85229049950129</v>
      </c>
      <c r="F19" s="727">
        <f>transport!E14</f>
        <v>354.15360957802631</v>
      </c>
      <c r="G19" s="727">
        <f>transport!F14</f>
        <v>0</v>
      </c>
      <c r="H19" s="727">
        <f>transport!G14</f>
        <v>168242.72716425164</v>
      </c>
      <c r="I19" s="727">
        <f>transport!H14</f>
        <v>26871.029084319416</v>
      </c>
      <c r="J19" s="727">
        <f>transport!I14</f>
        <v>0</v>
      </c>
      <c r="K19" s="727">
        <f>transport!J14</f>
        <v>0</v>
      </c>
      <c r="L19" s="727">
        <f>transport!K14</f>
        <v>0</v>
      </c>
      <c r="M19" s="727">
        <f>transport!L14</f>
        <v>0</v>
      </c>
      <c r="N19" s="727">
        <f>transport!M14</f>
        <v>10627.293861067379</v>
      </c>
      <c r="O19" s="727">
        <f>transport!N14</f>
        <v>0</v>
      </c>
      <c r="P19" s="727">
        <f>transport!O14</f>
        <v>0</v>
      </c>
      <c r="Q19" s="728">
        <f>transport!P14</f>
        <v>0</v>
      </c>
      <c r="R19" s="729">
        <f>SUM(C19:Q19)</f>
        <v>206398.4205867892</v>
      </c>
      <c r="S19" s="67"/>
    </row>
    <row r="20" spans="1:19" s="474" customFormat="1" ht="15.75" thickBot="1">
      <c r="A20" s="730" t="s">
        <v>230</v>
      </c>
      <c r="B20" s="878"/>
      <c r="C20" s="873">
        <f>SUM(C17:C19)</f>
        <v>71.364577073231644</v>
      </c>
      <c r="D20" s="731">
        <f t="shared" ref="D20:R20" si="1">SUM(D17:D19)</f>
        <v>0</v>
      </c>
      <c r="E20" s="731">
        <f t="shared" si="1"/>
        <v>231.85229049950129</v>
      </c>
      <c r="F20" s="731">
        <f t="shared" si="1"/>
        <v>354.15360957802631</v>
      </c>
      <c r="G20" s="731">
        <f t="shared" si="1"/>
        <v>0</v>
      </c>
      <c r="H20" s="731">
        <f t="shared" si="1"/>
        <v>170118.59867991493</v>
      </c>
      <c r="I20" s="731">
        <f t="shared" si="1"/>
        <v>26871.029084319416</v>
      </c>
      <c r="J20" s="731">
        <f t="shared" si="1"/>
        <v>0</v>
      </c>
      <c r="K20" s="731">
        <f t="shared" si="1"/>
        <v>0</v>
      </c>
      <c r="L20" s="731">
        <f t="shared" si="1"/>
        <v>0</v>
      </c>
      <c r="M20" s="731">
        <f t="shared" si="1"/>
        <v>0</v>
      </c>
      <c r="N20" s="731">
        <f t="shared" si="1"/>
        <v>10733.835081978961</v>
      </c>
      <c r="O20" s="731">
        <f t="shared" si="1"/>
        <v>0</v>
      </c>
      <c r="P20" s="731">
        <f t="shared" si="1"/>
        <v>0</v>
      </c>
      <c r="Q20" s="732">
        <f t="shared" si="1"/>
        <v>0</v>
      </c>
      <c r="R20" s="733">
        <f t="shared" si="1"/>
        <v>208380.83332336409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11931.099505546988</v>
      </c>
      <c r="D22" s="727">
        <f>+landbouw!C8</f>
        <v>83334.21428571429</v>
      </c>
      <c r="E22" s="727">
        <f>+landbouw!D8</f>
        <v>0</v>
      </c>
      <c r="F22" s="727">
        <f>+landbouw!E8</f>
        <v>350.69145625208131</v>
      </c>
      <c r="G22" s="727">
        <f>+landbouw!F8</f>
        <v>49704.315817331466</v>
      </c>
      <c r="H22" s="727">
        <f>+landbouw!G8</f>
        <v>0</v>
      </c>
      <c r="I22" s="727">
        <f>+landbouw!H8</f>
        <v>0</v>
      </c>
      <c r="J22" s="727">
        <f>+landbouw!I8</f>
        <v>0</v>
      </c>
      <c r="K22" s="727">
        <f>+landbouw!J8</f>
        <v>1728.560095058918</v>
      </c>
      <c r="L22" s="727">
        <f>+landbouw!K8</f>
        <v>0</v>
      </c>
      <c r="M22" s="727">
        <f>+landbouw!L8</f>
        <v>0</v>
      </c>
      <c r="N22" s="727">
        <f>+landbouw!M8</f>
        <v>0</v>
      </c>
      <c r="O22" s="727">
        <f>+landbouw!N8</f>
        <v>0</v>
      </c>
      <c r="P22" s="727">
        <f>+landbouw!O8</f>
        <v>0</v>
      </c>
      <c r="Q22" s="728">
        <f>+landbouw!P8</f>
        <v>0</v>
      </c>
      <c r="R22" s="729">
        <f>SUM(C22:Q22)</f>
        <v>147048.88115990374</v>
      </c>
      <c r="S22" s="67"/>
    </row>
    <row r="23" spans="1:19" s="474" customFormat="1" ht="17.25" thickTop="1" thickBot="1">
      <c r="A23" s="734" t="s">
        <v>116</v>
      </c>
      <c r="B23" s="864"/>
      <c r="C23" s="735">
        <f ca="1">C20+C15+C22</f>
        <v>72086.393699292996</v>
      </c>
      <c r="D23" s="735">
        <f t="shared" ref="D23:Q23" ca="1" si="2">D20+D15+D22</f>
        <v>83334.21428571429</v>
      </c>
      <c r="E23" s="735">
        <f t="shared" ca="1" si="2"/>
        <v>104559.48662083066</v>
      </c>
      <c r="F23" s="735">
        <f t="shared" si="2"/>
        <v>11873.680927325056</v>
      </c>
      <c r="G23" s="735">
        <f t="shared" ca="1" si="2"/>
        <v>54673.791799973784</v>
      </c>
      <c r="H23" s="735">
        <f t="shared" si="2"/>
        <v>170118.59867991493</v>
      </c>
      <c r="I23" s="735">
        <f t="shared" si="2"/>
        <v>26871.029084319416</v>
      </c>
      <c r="J23" s="735">
        <f t="shared" si="2"/>
        <v>0</v>
      </c>
      <c r="K23" s="735">
        <f t="shared" si="2"/>
        <v>1732.0531684375958</v>
      </c>
      <c r="L23" s="735">
        <f t="shared" si="2"/>
        <v>0</v>
      </c>
      <c r="M23" s="735">
        <f t="shared" ca="1" si="2"/>
        <v>0</v>
      </c>
      <c r="N23" s="735">
        <f t="shared" si="2"/>
        <v>10733.835081978961</v>
      </c>
      <c r="O23" s="735">
        <f t="shared" ca="1" si="2"/>
        <v>30141.951941131847</v>
      </c>
      <c r="P23" s="735">
        <f t="shared" si="2"/>
        <v>318.92</v>
      </c>
      <c r="Q23" s="736">
        <f t="shared" si="2"/>
        <v>2249.8666666666668</v>
      </c>
      <c r="R23" s="737">
        <f ca="1">R20+R15+R22</f>
        <v>568693.8219555862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1987.3575083678597</v>
      </c>
      <c r="D36" s="718">
        <f ca="1">tertiair!C20</f>
        <v>0</v>
      </c>
      <c r="E36" s="718">
        <f ca="1">tertiair!D20</f>
        <v>3319.4843030009479</v>
      </c>
      <c r="F36" s="718">
        <f>tertiair!E20</f>
        <v>53.646528440973441</v>
      </c>
      <c r="G36" s="718">
        <f ca="1">tertiair!F20</f>
        <v>686.77816827076481</v>
      </c>
      <c r="H36" s="718">
        <f>tertiair!G20</f>
        <v>0</v>
      </c>
      <c r="I36" s="718">
        <f>tertiair!H20</f>
        <v>0</v>
      </c>
      <c r="J36" s="718">
        <f>tertiair!I20</f>
        <v>0</v>
      </c>
      <c r="K36" s="718">
        <f>tertiair!J20</f>
        <v>1.4375513902081789E-2</v>
      </c>
      <c r="L36" s="718">
        <f>tertiair!K20</f>
        <v>0</v>
      </c>
      <c r="M36" s="718">
        <f ca="1">tertiair!L20</f>
        <v>0</v>
      </c>
      <c r="N36" s="718">
        <f>tertiair!M20</f>
        <v>0</v>
      </c>
      <c r="O36" s="718">
        <f ca="1">tertiair!N20</f>
        <v>0</v>
      </c>
      <c r="P36" s="718">
        <f>tertiair!O20</f>
        <v>0</v>
      </c>
      <c r="Q36" s="828">
        <f>tertiair!P20</f>
        <v>0</v>
      </c>
      <c r="R36" s="917">
        <f ca="1">SUM(C36:Q36)</f>
        <v>6047.2808835944479</v>
      </c>
    </row>
    <row r="37" spans="1:18">
      <c r="A37" s="885" t="s">
        <v>225</v>
      </c>
      <c r="B37" s="892"/>
      <c r="C37" s="718">
        <f ca="1">huishoudens!B12</f>
        <v>4929.376326433714</v>
      </c>
      <c r="D37" s="718">
        <f ca="1">huishoudens!C12</f>
        <v>0</v>
      </c>
      <c r="E37" s="718">
        <f>huishoudens!D12</f>
        <v>16971.611999266446</v>
      </c>
      <c r="F37" s="718">
        <f>huishoudens!E12</f>
        <v>2297.6472094169349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24198.635535117093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684.14723307701547</v>
      </c>
      <c r="D39" s="718">
        <f ca="1">industrie!C22</f>
        <v>0</v>
      </c>
      <c r="E39" s="718">
        <f>industrie!D22</f>
        <v>783.08583245949899</v>
      </c>
      <c r="F39" s="718">
        <f>industrie!E22</f>
        <v>184.03200270144507</v>
      </c>
      <c r="G39" s="718">
        <f>industrie!F22</f>
        <v>640.07191909473465</v>
      </c>
      <c r="H39" s="718">
        <f>industrie!G22</f>
        <v>0</v>
      </c>
      <c r="I39" s="718">
        <f>industrie!H22</f>
        <v>0</v>
      </c>
      <c r="J39" s="718">
        <f>industrie!I22</f>
        <v>0</v>
      </c>
      <c r="K39" s="718">
        <f>industrie!J22</f>
        <v>1.2221724621498267</v>
      </c>
      <c r="L39" s="718">
        <f>industrie!K22</f>
        <v>0</v>
      </c>
      <c r="M39" s="718">
        <f>industrie!L22</f>
        <v>0</v>
      </c>
      <c r="N39" s="718">
        <f>industrie!M22</f>
        <v>0</v>
      </c>
      <c r="O39" s="718">
        <f>industrie!N22</f>
        <v>0</v>
      </c>
      <c r="P39" s="718">
        <f>industrie!O22</f>
        <v>0</v>
      </c>
      <c r="Q39" s="828">
        <f>industrie!P22</f>
        <v>0</v>
      </c>
      <c r="R39" s="918">
        <f ca="1">SUM(C39:Q39)</f>
        <v>2292.5591597948442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7600.8810678785894</v>
      </c>
      <c r="D41" s="763">
        <f t="shared" ref="D41:R41" ca="1" si="4">SUM(D35:D40)</f>
        <v>0</v>
      </c>
      <c r="E41" s="763">
        <f t="shared" ca="1" si="4"/>
        <v>21074.182134726892</v>
      </c>
      <c r="F41" s="763">
        <f t="shared" si="4"/>
        <v>2535.3257405593531</v>
      </c>
      <c r="G41" s="763">
        <f t="shared" ca="1" si="4"/>
        <v>1326.8500873654993</v>
      </c>
      <c r="H41" s="763">
        <f t="shared" si="4"/>
        <v>0</v>
      </c>
      <c r="I41" s="763">
        <f t="shared" si="4"/>
        <v>0</v>
      </c>
      <c r="J41" s="763">
        <f t="shared" si="4"/>
        <v>0</v>
      </c>
      <c r="K41" s="763">
        <f t="shared" si="4"/>
        <v>1.2365479760519085</v>
      </c>
      <c r="L41" s="763">
        <f t="shared" si="4"/>
        <v>0</v>
      </c>
      <c r="M41" s="763">
        <f t="shared" ca="1" si="4"/>
        <v>0</v>
      </c>
      <c r="N41" s="763">
        <f t="shared" si="4"/>
        <v>0</v>
      </c>
      <c r="O41" s="763">
        <f t="shared" ca="1" si="4"/>
        <v>0</v>
      </c>
      <c r="P41" s="763">
        <f t="shared" si="4"/>
        <v>0</v>
      </c>
      <c r="Q41" s="764">
        <f t="shared" si="4"/>
        <v>0</v>
      </c>
      <c r="R41" s="765">
        <f t="shared" ca="1" si="4"/>
        <v>32538.475578506386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500.8576946820998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500.8576946820998</v>
      </c>
    </row>
    <row r="45" spans="1:18" ht="15" thickBot="1">
      <c r="A45" s="888" t="s">
        <v>307</v>
      </c>
      <c r="B45" s="898"/>
      <c r="C45" s="727">
        <f ca="1">transport!B18</f>
        <v>9.0279325312731906</v>
      </c>
      <c r="D45" s="727">
        <f>transport!C18</f>
        <v>0</v>
      </c>
      <c r="E45" s="727">
        <f>transport!D18</f>
        <v>46.834162680899261</v>
      </c>
      <c r="F45" s="727">
        <f>transport!E18</f>
        <v>80.392869374211969</v>
      </c>
      <c r="G45" s="727">
        <f>transport!F18</f>
        <v>0</v>
      </c>
      <c r="H45" s="727">
        <f>transport!G18</f>
        <v>44920.808152855192</v>
      </c>
      <c r="I45" s="727">
        <f>transport!H18</f>
        <v>6690.8862419955349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51747.949359437109</v>
      </c>
    </row>
    <row r="46" spans="1:18" ht="15.75" thickBot="1">
      <c r="A46" s="886" t="s">
        <v>230</v>
      </c>
      <c r="B46" s="899"/>
      <c r="C46" s="763">
        <f t="shared" ref="C46:R46" ca="1" si="5">SUM(C43:C45)</f>
        <v>9.0279325312731906</v>
      </c>
      <c r="D46" s="763">
        <f t="shared" ca="1" si="5"/>
        <v>0</v>
      </c>
      <c r="E46" s="763">
        <f t="shared" si="5"/>
        <v>46.834162680899261</v>
      </c>
      <c r="F46" s="763">
        <f t="shared" si="5"/>
        <v>80.392869374211969</v>
      </c>
      <c r="G46" s="763">
        <f t="shared" si="5"/>
        <v>0</v>
      </c>
      <c r="H46" s="763">
        <f t="shared" si="5"/>
        <v>45421.66584753729</v>
      </c>
      <c r="I46" s="763">
        <f t="shared" si="5"/>
        <v>6690.8862419955349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52248.807054119206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1509.3365052728323</v>
      </c>
      <c r="D48" s="718">
        <f ca="1">+landbouw!C12</f>
        <v>19759.673949579828</v>
      </c>
      <c r="E48" s="718">
        <f>+landbouw!D12</f>
        <v>0</v>
      </c>
      <c r="F48" s="718">
        <f>+landbouw!E12</f>
        <v>79.606960569222466</v>
      </c>
      <c r="G48" s="718">
        <f>+landbouw!F12</f>
        <v>13271.052323227503</v>
      </c>
      <c r="H48" s="718">
        <f>+landbouw!G12</f>
        <v>0</v>
      </c>
      <c r="I48" s="718">
        <f>+landbouw!H12</f>
        <v>0</v>
      </c>
      <c r="J48" s="718">
        <f>+landbouw!I12</f>
        <v>0</v>
      </c>
      <c r="K48" s="718">
        <f>+landbouw!J12</f>
        <v>611.91027365085699</v>
      </c>
      <c r="L48" s="718">
        <f>+landbouw!K12</f>
        <v>0</v>
      </c>
      <c r="M48" s="718">
        <f>+landbouw!L12</f>
        <v>0</v>
      </c>
      <c r="N48" s="718">
        <f>+landbouw!M12</f>
        <v>0</v>
      </c>
      <c r="O48" s="718">
        <f>+landbouw!N12</f>
        <v>0</v>
      </c>
      <c r="P48" s="718">
        <f>+landbouw!O12</f>
        <v>0</v>
      </c>
      <c r="Q48" s="719">
        <f>+landbouw!P12</f>
        <v>0</v>
      </c>
      <c r="R48" s="761">
        <f ca="1">SUM(C48:Q48)</f>
        <v>35231.580012300241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9119.2455056826948</v>
      </c>
      <c r="D53" s="773">
        <f t="shared" ref="D53:Q53" ca="1" si="6">D41+D46+D48</f>
        <v>19759.673949579828</v>
      </c>
      <c r="E53" s="773">
        <f t="shared" ca="1" si="6"/>
        <v>21121.01629740779</v>
      </c>
      <c r="F53" s="773">
        <f t="shared" si="6"/>
        <v>2695.3255705027873</v>
      </c>
      <c r="G53" s="773">
        <f t="shared" ca="1" si="6"/>
        <v>14597.902410593002</v>
      </c>
      <c r="H53" s="773">
        <f t="shared" si="6"/>
        <v>45421.66584753729</v>
      </c>
      <c r="I53" s="773">
        <f t="shared" si="6"/>
        <v>6690.8862419955349</v>
      </c>
      <c r="J53" s="773">
        <f t="shared" si="6"/>
        <v>0</v>
      </c>
      <c r="K53" s="773">
        <f t="shared" si="6"/>
        <v>613.14682162690895</v>
      </c>
      <c r="L53" s="773">
        <f t="shared" si="6"/>
        <v>0</v>
      </c>
      <c r="M53" s="773">
        <f t="shared" ca="1" si="6"/>
        <v>0</v>
      </c>
      <c r="N53" s="773">
        <f t="shared" si="6"/>
        <v>0</v>
      </c>
      <c r="O53" s="773">
        <f t="shared" ca="1" si="6"/>
        <v>0</v>
      </c>
      <c r="P53" s="773">
        <f>P41+P46+P48</f>
        <v>0</v>
      </c>
      <c r="Q53" s="774">
        <f t="shared" si="6"/>
        <v>0</v>
      </c>
      <c r="R53" s="775">
        <f ca="1">R41+R46+R48</f>
        <v>120018.86264492583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0.12650439337725025</v>
      </c>
      <c r="D55" s="836">
        <f t="shared" ca="1" si="7"/>
        <v>0.23711358076567554</v>
      </c>
      <c r="E55" s="836">
        <f t="shared" ca="1" si="7"/>
        <v>0.20199999999999996</v>
      </c>
      <c r="F55" s="836">
        <f t="shared" si="7"/>
        <v>0.22699999999999995</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41508.720472288747</v>
      </c>
      <c r="C64" s="795">
        <f>'lokale energieproductie'!B4</f>
        <v>41508.720472288747</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9495.6014678642823</v>
      </c>
      <c r="C66" s="795">
        <f>'lokale energieproductie'!B6</f>
        <v>9495.6014678642823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58333.950000000004</v>
      </c>
      <c r="C67" s="794">
        <f>B67*IFERROR(SUM(J67:L67)/SUM(D67:M67),0)</f>
        <v>130.94999999999999</v>
      </c>
      <c r="D67" s="826">
        <f>'lokale energieproductie'!C7</f>
        <v>68474.117647058825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154.05882352941174</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13831.771764705883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109338.27194015303</v>
      </c>
      <c r="C69" s="803">
        <f>SUM(C64:C68)</f>
        <v>51135.271940153027</v>
      </c>
      <c r="D69" s="804">
        <f t="shared" ref="D69:M69" si="8">SUM(D67:D68)</f>
        <v>68474.117647058825</v>
      </c>
      <c r="E69" s="804">
        <f t="shared" si="8"/>
        <v>0</v>
      </c>
      <c r="F69" s="804">
        <f t="shared" si="8"/>
        <v>0</v>
      </c>
      <c r="G69" s="804">
        <f t="shared" si="8"/>
        <v>0</v>
      </c>
      <c r="H69" s="804">
        <f t="shared" si="8"/>
        <v>0</v>
      </c>
      <c r="I69" s="804">
        <f t="shared" si="8"/>
        <v>0</v>
      </c>
      <c r="J69" s="804">
        <f t="shared" si="8"/>
        <v>0</v>
      </c>
      <c r="K69" s="804">
        <f t="shared" si="8"/>
        <v>154.05882352941174</v>
      </c>
      <c r="L69" s="804">
        <f t="shared" si="8"/>
        <v>0</v>
      </c>
      <c r="M69" s="930">
        <f t="shared" si="8"/>
        <v>0</v>
      </c>
      <c r="N69" s="805">
        <v>0</v>
      </c>
      <c r="O69" s="805">
        <f>SUM(O67:O68)</f>
        <v>13831.771764705883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83334.21428571429</v>
      </c>
      <c r="C78" s="817">
        <f>B78*IFERROR(SUM(I78:L78)/SUM(D78:M78),0)</f>
        <v>187.07142857142858</v>
      </c>
      <c r="D78" s="832">
        <f>'lokale energieproductie'!C16</f>
        <v>97820.16806722687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220.08403361344531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19759.673949579828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83334.21428571429</v>
      </c>
      <c r="C81" s="803">
        <f>SUM(C78:C80)</f>
        <v>187.07142857142858</v>
      </c>
      <c r="D81" s="803">
        <f t="shared" ref="D81:P81" si="9">SUM(D78:D80)</f>
        <v>97820.16806722687</v>
      </c>
      <c r="E81" s="803">
        <f t="shared" si="9"/>
        <v>0</v>
      </c>
      <c r="F81" s="803">
        <f t="shared" si="9"/>
        <v>0</v>
      </c>
      <c r="G81" s="803">
        <f t="shared" si="9"/>
        <v>0</v>
      </c>
      <c r="H81" s="803">
        <f t="shared" si="9"/>
        <v>0</v>
      </c>
      <c r="I81" s="803">
        <f t="shared" si="9"/>
        <v>0</v>
      </c>
      <c r="J81" s="803">
        <f t="shared" si="9"/>
        <v>0</v>
      </c>
      <c r="K81" s="803">
        <f t="shared" si="9"/>
        <v>220.08403361344531</v>
      </c>
      <c r="L81" s="803">
        <f t="shared" si="9"/>
        <v>0</v>
      </c>
      <c r="M81" s="803">
        <f t="shared" si="9"/>
        <v>0</v>
      </c>
      <c r="N81" s="803">
        <v>0</v>
      </c>
      <c r="O81" s="803">
        <f>SUM(O78:O80)</f>
        <v>19759.673949579828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38966.048489191693</v>
      </c>
      <c r="C4" s="478">
        <f>huishoudens!C8</f>
        <v>0</v>
      </c>
      <c r="D4" s="478">
        <f>huishoudens!D8</f>
        <v>84017.881184487356</v>
      </c>
      <c r="E4" s="478">
        <f>huishoudens!E8</f>
        <v>10121.793874083412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27264.230795329349</v>
      </c>
      <c r="O4" s="478">
        <f>huishoudens!O8</f>
        <v>315.79333333333335</v>
      </c>
      <c r="P4" s="479">
        <f>huishoudens!P8</f>
        <v>2173.6</v>
      </c>
      <c r="Q4" s="480">
        <f>SUM(B4:P4)</f>
        <v>162859.34767642515</v>
      </c>
    </row>
    <row r="5" spans="1:17">
      <c r="A5" s="477" t="s">
        <v>156</v>
      </c>
      <c r="B5" s="478">
        <f ca="1">tertiair!B16</f>
        <v>14364.213429501822</v>
      </c>
      <c r="C5" s="478">
        <f ca="1">tertiair!C16</f>
        <v>0</v>
      </c>
      <c r="D5" s="478">
        <f ca="1">tertiair!D16</f>
        <v>16433.090608915583</v>
      </c>
      <c r="E5" s="478">
        <f>tertiair!E16</f>
        <v>236.32831912323101</v>
      </c>
      <c r="F5" s="478">
        <f ca="1">tertiair!F16</f>
        <v>2572.2028774185947</v>
      </c>
      <c r="G5" s="478">
        <f>tertiair!G16</f>
        <v>0</v>
      </c>
      <c r="H5" s="478">
        <f>tertiair!H16</f>
        <v>0</v>
      </c>
      <c r="I5" s="478">
        <f>tertiair!I16</f>
        <v>0</v>
      </c>
      <c r="J5" s="478">
        <f>tertiair!J16</f>
        <v>4.060879633356438E-2</v>
      </c>
      <c r="K5" s="478">
        <f>tertiair!K16</f>
        <v>0</v>
      </c>
      <c r="L5" s="478">
        <f ca="1">tertiair!L16</f>
        <v>0</v>
      </c>
      <c r="M5" s="478">
        <f>tertiair!M16</f>
        <v>0</v>
      </c>
      <c r="N5" s="478">
        <f ca="1">tertiair!N16</f>
        <v>1612.9712753706767</v>
      </c>
      <c r="O5" s="478">
        <f>tertiair!O16</f>
        <v>3.1266666666666669</v>
      </c>
      <c r="P5" s="479">
        <f>tertiair!P16</f>
        <v>76.266666666666666</v>
      </c>
      <c r="Q5" s="477">
        <f t="shared" ref="Q5:Q13" ca="1" si="0">SUM(B5:P5)</f>
        <v>35298.240452459577</v>
      </c>
    </row>
    <row r="6" spans="1:17">
      <c r="A6" s="477" t="s">
        <v>194</v>
      </c>
      <c r="B6" s="478">
        <f>'openbare verlichting'!B8</f>
        <v>1345.577</v>
      </c>
      <c r="C6" s="478"/>
      <c r="D6" s="478"/>
      <c r="E6" s="478"/>
      <c r="F6" s="478"/>
      <c r="G6" s="478"/>
      <c r="H6" s="478"/>
      <c r="I6" s="478"/>
      <c r="J6" s="478"/>
      <c r="K6" s="478"/>
      <c r="L6" s="478"/>
      <c r="M6" s="478"/>
      <c r="N6" s="478"/>
      <c r="O6" s="478"/>
      <c r="P6" s="479"/>
      <c r="Q6" s="477">
        <f t="shared" si="0"/>
        <v>1345.577</v>
      </c>
    </row>
    <row r="7" spans="1:17">
      <c r="A7" s="477" t="s">
        <v>112</v>
      </c>
      <c r="B7" s="478">
        <f>landbouw!B8</f>
        <v>11931.099505546988</v>
      </c>
      <c r="C7" s="478">
        <f>landbouw!C8</f>
        <v>83334.21428571429</v>
      </c>
      <c r="D7" s="478">
        <f>landbouw!D8</f>
        <v>0</v>
      </c>
      <c r="E7" s="478">
        <f>landbouw!E8</f>
        <v>350.69145625208131</v>
      </c>
      <c r="F7" s="478">
        <f>landbouw!F8</f>
        <v>49704.315817331466</v>
      </c>
      <c r="G7" s="478">
        <f>landbouw!G8</f>
        <v>0</v>
      </c>
      <c r="H7" s="478">
        <f>landbouw!H8</f>
        <v>0</v>
      </c>
      <c r="I7" s="478">
        <f>landbouw!I8</f>
        <v>0</v>
      </c>
      <c r="J7" s="478">
        <f>landbouw!J8</f>
        <v>1728.560095058918</v>
      </c>
      <c r="K7" s="478">
        <f>landbouw!K8</f>
        <v>0</v>
      </c>
      <c r="L7" s="478">
        <f>landbouw!L8</f>
        <v>0</v>
      </c>
      <c r="M7" s="478">
        <f>landbouw!M8</f>
        <v>0</v>
      </c>
      <c r="N7" s="478">
        <f>landbouw!N8</f>
        <v>0</v>
      </c>
      <c r="O7" s="478">
        <f>landbouw!O8</f>
        <v>0</v>
      </c>
      <c r="P7" s="479">
        <f>landbouw!P8</f>
        <v>0</v>
      </c>
      <c r="Q7" s="477">
        <f t="shared" si="0"/>
        <v>147048.88115990374</v>
      </c>
    </row>
    <row r="8" spans="1:17">
      <c r="A8" s="477" t="s">
        <v>635</v>
      </c>
      <c r="B8" s="478">
        <f>industrie!B18</f>
        <v>5408.0906979792544</v>
      </c>
      <c r="C8" s="478">
        <f>industrie!C18</f>
        <v>0</v>
      </c>
      <c r="D8" s="478">
        <f>industrie!D18</f>
        <v>3876.6625369282128</v>
      </c>
      <c r="E8" s="478">
        <f>industrie!E18</f>
        <v>810.71366828830423</v>
      </c>
      <c r="F8" s="478">
        <f>industrie!F18</f>
        <v>2397.273105223725</v>
      </c>
      <c r="G8" s="478">
        <f>industrie!G18</f>
        <v>0</v>
      </c>
      <c r="H8" s="478">
        <f>industrie!H18</f>
        <v>0</v>
      </c>
      <c r="I8" s="478">
        <f>industrie!I18</f>
        <v>0</v>
      </c>
      <c r="J8" s="478">
        <f>industrie!J18</f>
        <v>3.4524645823441436</v>
      </c>
      <c r="K8" s="478">
        <f>industrie!K18</f>
        <v>0</v>
      </c>
      <c r="L8" s="478">
        <f>industrie!L18</f>
        <v>0</v>
      </c>
      <c r="M8" s="478">
        <f>industrie!M18</f>
        <v>0</v>
      </c>
      <c r="N8" s="478">
        <f>industrie!N18</f>
        <v>1264.7498704318198</v>
      </c>
      <c r="O8" s="478">
        <f>industrie!O18</f>
        <v>0</v>
      </c>
      <c r="P8" s="479">
        <f>industrie!P18</f>
        <v>0</v>
      </c>
      <c r="Q8" s="477">
        <f t="shared" si="0"/>
        <v>13760.942343433662</v>
      </c>
    </row>
    <row r="9" spans="1:17" s="483" customFormat="1">
      <c r="A9" s="481" t="s">
        <v>561</v>
      </c>
      <c r="B9" s="482">
        <f>transport!B14</f>
        <v>71.364577073231644</v>
      </c>
      <c r="C9" s="482"/>
      <c r="D9" s="482">
        <f>transport!D14</f>
        <v>231.85229049950129</v>
      </c>
      <c r="E9" s="482">
        <f>transport!E14</f>
        <v>354.15360957802631</v>
      </c>
      <c r="F9" s="482"/>
      <c r="G9" s="482">
        <f>transport!G14</f>
        <v>168242.72716425164</v>
      </c>
      <c r="H9" s="482">
        <f>transport!H14</f>
        <v>26871.029084319416</v>
      </c>
      <c r="I9" s="482"/>
      <c r="J9" s="482"/>
      <c r="K9" s="482"/>
      <c r="L9" s="482"/>
      <c r="M9" s="482">
        <f>transport!M14</f>
        <v>10627.293861067379</v>
      </c>
      <c r="N9" s="482"/>
      <c r="O9" s="482"/>
      <c r="P9" s="482"/>
      <c r="Q9" s="481">
        <f>SUM(B9:P9)</f>
        <v>206398.4205867892</v>
      </c>
    </row>
    <row r="10" spans="1:17">
      <c r="A10" s="477" t="s">
        <v>551</v>
      </c>
      <c r="B10" s="478">
        <f>transport!B54</f>
        <v>0</v>
      </c>
      <c r="C10" s="478"/>
      <c r="D10" s="478">
        <f>transport!D54</f>
        <v>0</v>
      </c>
      <c r="E10" s="478"/>
      <c r="F10" s="478"/>
      <c r="G10" s="478">
        <f>transport!G54</f>
        <v>1875.871515663295</v>
      </c>
      <c r="H10" s="478"/>
      <c r="I10" s="478"/>
      <c r="J10" s="478"/>
      <c r="K10" s="478"/>
      <c r="L10" s="478"/>
      <c r="M10" s="478">
        <f>transport!M54</f>
        <v>106.54122091158162</v>
      </c>
      <c r="N10" s="478"/>
      <c r="O10" s="478"/>
      <c r="P10" s="479"/>
      <c r="Q10" s="477">
        <f t="shared" si="0"/>
        <v>1982.4127365748766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72086.393699292981</v>
      </c>
      <c r="C14" s="488">
        <f t="shared" ref="C14:Q14" ca="1" si="1">SUM(C4:C13)</f>
        <v>83334.21428571429</v>
      </c>
      <c r="D14" s="488">
        <f t="shared" ca="1" si="1"/>
        <v>104559.48662083066</v>
      </c>
      <c r="E14" s="488">
        <f t="shared" si="1"/>
        <v>11873.680927325056</v>
      </c>
      <c r="F14" s="488">
        <f t="shared" ca="1" si="1"/>
        <v>54673.791799973784</v>
      </c>
      <c r="G14" s="488">
        <f t="shared" si="1"/>
        <v>170118.59867991493</v>
      </c>
      <c r="H14" s="488">
        <f t="shared" si="1"/>
        <v>26871.029084319416</v>
      </c>
      <c r="I14" s="488">
        <f t="shared" si="1"/>
        <v>0</v>
      </c>
      <c r="J14" s="488">
        <f t="shared" si="1"/>
        <v>1732.0531684375958</v>
      </c>
      <c r="K14" s="488">
        <f t="shared" si="1"/>
        <v>0</v>
      </c>
      <c r="L14" s="488">
        <f t="shared" ca="1" si="1"/>
        <v>0</v>
      </c>
      <c r="M14" s="488">
        <f t="shared" si="1"/>
        <v>10733.835081978961</v>
      </c>
      <c r="N14" s="488">
        <f t="shared" ca="1" si="1"/>
        <v>30141.951941131847</v>
      </c>
      <c r="O14" s="488">
        <f t="shared" si="1"/>
        <v>318.92</v>
      </c>
      <c r="P14" s="489">
        <f t="shared" si="1"/>
        <v>2249.8666666666668</v>
      </c>
      <c r="Q14" s="489">
        <f t="shared" ca="1" si="1"/>
        <v>568693.8219555862</v>
      </c>
    </row>
    <row r="16" spans="1:17">
      <c r="A16" s="491" t="s">
        <v>556</v>
      </c>
      <c r="B16" s="841">
        <f ca="1">huishoudens!B10</f>
        <v>0.12650439337725025</v>
      </c>
      <c r="C16" s="841">
        <f ca="1">huishoudens!C10</f>
        <v>0.23711358076567554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4929.376326433714</v>
      </c>
      <c r="C21" s="478">
        <f t="shared" ref="C21:C28" ca="1" si="3">C4*$C$16</f>
        <v>0</v>
      </c>
      <c r="D21" s="478">
        <f t="shared" ref="D21:D30" si="4">D4*$D$16</f>
        <v>16971.611999266446</v>
      </c>
      <c r="E21" s="478">
        <f t="shared" ref="E21:E30" si="5">E4*$E$16</f>
        <v>2297.6472094169349</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24198.635535117093</v>
      </c>
    </row>
    <row r="22" spans="1:17">
      <c r="A22" s="477" t="s">
        <v>156</v>
      </c>
      <c r="B22" s="478">
        <f t="shared" ca="1" si="2"/>
        <v>1817.1361062404794</v>
      </c>
      <c r="C22" s="478">
        <f t="shared" ca="1" si="3"/>
        <v>0</v>
      </c>
      <c r="D22" s="478">
        <f t="shared" ca="1" si="4"/>
        <v>3319.4843030009479</v>
      </c>
      <c r="E22" s="478">
        <f t="shared" si="5"/>
        <v>53.646528440973441</v>
      </c>
      <c r="F22" s="478">
        <f t="shared" ca="1" si="6"/>
        <v>686.77816827076481</v>
      </c>
      <c r="G22" s="478">
        <f t="shared" si="7"/>
        <v>0</v>
      </c>
      <c r="H22" s="478">
        <f t="shared" si="8"/>
        <v>0</v>
      </c>
      <c r="I22" s="478">
        <f t="shared" si="9"/>
        <v>0</v>
      </c>
      <c r="J22" s="478">
        <f t="shared" si="10"/>
        <v>1.4375513902081789E-2</v>
      </c>
      <c r="K22" s="478">
        <f t="shared" si="11"/>
        <v>0</v>
      </c>
      <c r="L22" s="478">
        <f t="shared" ca="1" si="12"/>
        <v>0</v>
      </c>
      <c r="M22" s="478">
        <f t="shared" si="13"/>
        <v>0</v>
      </c>
      <c r="N22" s="478">
        <f t="shared" ca="1" si="14"/>
        <v>0</v>
      </c>
      <c r="O22" s="478">
        <f t="shared" si="15"/>
        <v>0</v>
      </c>
      <c r="P22" s="479">
        <f t="shared" si="16"/>
        <v>0</v>
      </c>
      <c r="Q22" s="477">
        <f t="shared" ref="Q22:Q30" ca="1" si="17">SUM(B22:P22)</f>
        <v>5877.0594814670676</v>
      </c>
    </row>
    <row r="23" spans="1:17">
      <c r="A23" s="477" t="s">
        <v>194</v>
      </c>
      <c r="B23" s="478">
        <f t="shared" ca="1" si="2"/>
        <v>170.22140212738026</v>
      </c>
      <c r="C23" s="478"/>
      <c r="D23" s="478"/>
      <c r="E23" s="478"/>
      <c r="F23" s="478"/>
      <c r="G23" s="478"/>
      <c r="H23" s="478"/>
      <c r="I23" s="478"/>
      <c r="J23" s="478"/>
      <c r="K23" s="478"/>
      <c r="L23" s="478"/>
      <c r="M23" s="478"/>
      <c r="N23" s="478"/>
      <c r="O23" s="478"/>
      <c r="P23" s="479"/>
      <c r="Q23" s="477">
        <f t="shared" ca="1" si="17"/>
        <v>170.22140212738026</v>
      </c>
    </row>
    <row r="24" spans="1:17">
      <c r="A24" s="477" t="s">
        <v>112</v>
      </c>
      <c r="B24" s="478">
        <f t="shared" ca="1" si="2"/>
        <v>1509.3365052728323</v>
      </c>
      <c r="C24" s="478">
        <f t="shared" ca="1" si="3"/>
        <v>19759.673949579828</v>
      </c>
      <c r="D24" s="478">
        <f t="shared" si="4"/>
        <v>0</v>
      </c>
      <c r="E24" s="478">
        <f t="shared" si="5"/>
        <v>79.606960569222466</v>
      </c>
      <c r="F24" s="478">
        <f t="shared" si="6"/>
        <v>13271.052323227503</v>
      </c>
      <c r="G24" s="478">
        <f t="shared" si="7"/>
        <v>0</v>
      </c>
      <c r="H24" s="478">
        <f t="shared" si="8"/>
        <v>0</v>
      </c>
      <c r="I24" s="478">
        <f t="shared" si="9"/>
        <v>0</v>
      </c>
      <c r="J24" s="478">
        <f t="shared" si="10"/>
        <v>611.91027365085699</v>
      </c>
      <c r="K24" s="478">
        <f t="shared" si="11"/>
        <v>0</v>
      </c>
      <c r="L24" s="478">
        <f t="shared" si="12"/>
        <v>0</v>
      </c>
      <c r="M24" s="478">
        <f t="shared" si="13"/>
        <v>0</v>
      </c>
      <c r="N24" s="478">
        <f t="shared" si="14"/>
        <v>0</v>
      </c>
      <c r="O24" s="478">
        <f t="shared" si="15"/>
        <v>0</v>
      </c>
      <c r="P24" s="479">
        <f t="shared" si="16"/>
        <v>0</v>
      </c>
      <c r="Q24" s="477">
        <f t="shared" ca="1" si="17"/>
        <v>35231.580012300241</v>
      </c>
    </row>
    <row r="25" spans="1:17">
      <c r="A25" s="477" t="s">
        <v>635</v>
      </c>
      <c r="B25" s="478">
        <f t="shared" ca="1" si="2"/>
        <v>684.14723307701547</v>
      </c>
      <c r="C25" s="478">
        <f t="shared" ca="1" si="3"/>
        <v>0</v>
      </c>
      <c r="D25" s="478">
        <f t="shared" si="4"/>
        <v>783.08583245949899</v>
      </c>
      <c r="E25" s="478">
        <f t="shared" si="5"/>
        <v>184.03200270144507</v>
      </c>
      <c r="F25" s="478">
        <f t="shared" si="6"/>
        <v>640.07191909473465</v>
      </c>
      <c r="G25" s="478">
        <f t="shared" si="7"/>
        <v>0</v>
      </c>
      <c r="H25" s="478">
        <f t="shared" si="8"/>
        <v>0</v>
      </c>
      <c r="I25" s="478">
        <f t="shared" si="9"/>
        <v>0</v>
      </c>
      <c r="J25" s="478">
        <f t="shared" si="10"/>
        <v>1.2221724621498267</v>
      </c>
      <c r="K25" s="478">
        <f t="shared" si="11"/>
        <v>0</v>
      </c>
      <c r="L25" s="478">
        <f t="shared" si="12"/>
        <v>0</v>
      </c>
      <c r="M25" s="478">
        <f t="shared" si="13"/>
        <v>0</v>
      </c>
      <c r="N25" s="478">
        <f t="shared" si="14"/>
        <v>0</v>
      </c>
      <c r="O25" s="478">
        <f t="shared" si="15"/>
        <v>0</v>
      </c>
      <c r="P25" s="479">
        <f t="shared" si="16"/>
        <v>0</v>
      </c>
      <c r="Q25" s="477">
        <f t="shared" ca="1" si="17"/>
        <v>2292.5591597948442</v>
      </c>
    </row>
    <row r="26" spans="1:17" s="483" customFormat="1">
      <c r="A26" s="481" t="s">
        <v>561</v>
      </c>
      <c r="B26" s="835">
        <f t="shared" ca="1" si="2"/>
        <v>9.0279325312731906</v>
      </c>
      <c r="C26" s="482"/>
      <c r="D26" s="482">
        <f t="shared" si="4"/>
        <v>46.834162680899261</v>
      </c>
      <c r="E26" s="482">
        <f t="shared" si="5"/>
        <v>80.392869374211969</v>
      </c>
      <c r="F26" s="482"/>
      <c r="G26" s="482">
        <f t="shared" si="7"/>
        <v>44920.808152855192</v>
      </c>
      <c r="H26" s="482">
        <f t="shared" si="8"/>
        <v>6690.8862419955349</v>
      </c>
      <c r="I26" s="482"/>
      <c r="J26" s="482"/>
      <c r="K26" s="482"/>
      <c r="L26" s="482"/>
      <c r="M26" s="482">
        <f t="shared" si="13"/>
        <v>0</v>
      </c>
      <c r="N26" s="482"/>
      <c r="O26" s="482"/>
      <c r="P26" s="493"/>
      <c r="Q26" s="481">
        <f t="shared" ca="1" si="17"/>
        <v>51747.949359437109</v>
      </c>
    </row>
    <row r="27" spans="1:17">
      <c r="A27" s="477" t="s">
        <v>551</v>
      </c>
      <c r="B27" s="478">
        <f t="shared" ca="1" si="2"/>
        <v>0</v>
      </c>
      <c r="C27" s="478"/>
      <c r="D27" s="482">
        <f t="shared" si="4"/>
        <v>0</v>
      </c>
      <c r="E27" s="478"/>
      <c r="F27" s="478"/>
      <c r="G27" s="478">
        <f t="shared" si="7"/>
        <v>500.8576946820998</v>
      </c>
      <c r="H27" s="478"/>
      <c r="I27" s="478"/>
      <c r="J27" s="478"/>
      <c r="K27" s="478"/>
      <c r="L27" s="478"/>
      <c r="M27" s="478">
        <f t="shared" si="13"/>
        <v>0</v>
      </c>
      <c r="N27" s="478"/>
      <c r="O27" s="478"/>
      <c r="P27" s="479"/>
      <c r="Q27" s="477">
        <f t="shared" ca="1" si="17"/>
        <v>500.8576946820998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9119.2455056826948</v>
      </c>
      <c r="C31" s="488">
        <f t="shared" ca="1" si="18"/>
        <v>19759.673949579828</v>
      </c>
      <c r="D31" s="488">
        <f t="shared" ca="1" si="18"/>
        <v>21121.01629740779</v>
      </c>
      <c r="E31" s="488">
        <f t="shared" si="18"/>
        <v>2695.3255705027873</v>
      </c>
      <c r="F31" s="488">
        <f t="shared" ca="1" si="18"/>
        <v>14597.902410593002</v>
      </c>
      <c r="G31" s="488">
        <f t="shared" si="18"/>
        <v>45421.66584753729</v>
      </c>
      <c r="H31" s="488">
        <f t="shared" si="18"/>
        <v>6690.8862419955349</v>
      </c>
      <c r="I31" s="488">
        <f t="shared" si="18"/>
        <v>0</v>
      </c>
      <c r="J31" s="488">
        <f t="shared" si="18"/>
        <v>613.14682162690895</v>
      </c>
      <c r="K31" s="488">
        <f t="shared" si="18"/>
        <v>0</v>
      </c>
      <c r="L31" s="488">
        <f t="shared" ca="1" si="18"/>
        <v>0</v>
      </c>
      <c r="M31" s="488">
        <f t="shared" si="18"/>
        <v>0</v>
      </c>
      <c r="N31" s="488">
        <f t="shared" ca="1" si="18"/>
        <v>0</v>
      </c>
      <c r="O31" s="488">
        <f t="shared" si="18"/>
        <v>0</v>
      </c>
      <c r="P31" s="489">
        <f t="shared" si="18"/>
        <v>0</v>
      </c>
      <c r="Q31" s="489">
        <f t="shared" ca="1" si="18"/>
        <v>120018.86264492582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0.12650439337725025</v>
      </c>
      <c r="C17" s="528">
        <f ca="1">'EF ele_warmte'!B22</f>
        <v>0.23711358076567554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4.6900000000000004</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0.12650439337725025</v>
      </c>
      <c r="C17" s="528">
        <f ca="1">'EF ele_warmte'!B22</f>
        <v>0.23711358076567554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0.12650439337725025</v>
      </c>
      <c r="C29" s="529">
        <f ca="1">'EF ele_warmte'!B22</f>
        <v>0.23711358076567554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2019-01-01T21:17:12Z</dcterms:modified>
</cp:coreProperties>
</file>