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R59"/>
  <c r="Q59"/>
  <c r="P59"/>
  <c r="O59"/>
  <c r="N59"/>
  <c r="M59"/>
  <c r="W58"/>
  <c r="V58"/>
  <c r="U58"/>
  <c r="T58"/>
  <c r="S58"/>
  <c r="R5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F10"/>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G16"/>
  <c r="M11"/>
  <c r="H11"/>
  <c r="G11"/>
  <c r="M8"/>
  <c r="K8"/>
  <c r="I8"/>
  <c r="H8"/>
  <c r="G8"/>
  <c r="P7"/>
  <c r="O7"/>
  <c r="M7"/>
  <c r="K7"/>
  <c r="I7"/>
  <c r="H7"/>
  <c r="G7"/>
  <c r="K4"/>
  <c r="I4"/>
  <c r="H4"/>
  <c r="G4"/>
  <c r="M78" i="14"/>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13" i="15"/>
  <c r="F6" i="17"/>
  <c r="D16" i="16"/>
  <c r="F16"/>
  <c r="C13" i="15"/>
  <c r="C16" s="1"/>
  <c r="D10" i="14" s="1"/>
  <c r="L6" i="17"/>
  <c r="L5" s="1"/>
  <c r="O4" i="48"/>
  <c r="E16"/>
  <c r="I16"/>
  <c r="F16"/>
  <c r="J16"/>
  <c r="K16"/>
  <c r="K21" s="1"/>
  <c r="D16"/>
  <c r="D27" s="1"/>
  <c r="H16"/>
  <c r="H24" s="1"/>
  <c r="L16" i="16"/>
  <c r="L18" s="1"/>
  <c r="I14" i="15"/>
  <c r="I16" s="1"/>
  <c r="J10" i="14" s="1"/>
  <c r="B13" i="16"/>
  <c r="C35"/>
  <c r="D8" i="17"/>
  <c r="D12" s="1"/>
  <c r="E48" i="14" s="1"/>
  <c r="E9"/>
  <c r="D14" i="15"/>
  <c r="P18" i="16"/>
  <c r="N6" i="17"/>
  <c r="N5" s="1"/>
  <c r="J8"/>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1" i="20"/>
  <c r="E43" i="14" s="1"/>
  <c r="E18"/>
  <c r="O80"/>
  <c r="L4" i="48"/>
  <c r="L22" i="16"/>
  <c r="M39" i="14" s="1"/>
  <c r="G19" i="18"/>
  <c r="K19"/>
  <c r="G9" i="14"/>
  <c r="M4" i="48"/>
  <c r="F11"/>
  <c r="K19" i="19"/>
  <c r="L35" i="14" s="1"/>
  <c r="I19" i="19"/>
  <c r="J35" i="14" s="1"/>
  <c r="E31" i="20"/>
  <c r="F43" i="14" s="1"/>
  <c r="B6" i="48"/>
  <c r="Q6"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G21"/>
  <c r="M16"/>
  <c r="B39" i="13"/>
  <c r="B51" s="1"/>
  <c r="F5" s="1"/>
  <c r="F8" s="1"/>
  <c r="I21" i="48"/>
  <c r="O21"/>
  <c r="L16"/>
  <c r="H21"/>
  <c r="K24"/>
  <c r="K25"/>
  <c r="Q11" i="14"/>
  <c r="P12" i="13"/>
  <c r="Q37" i="14" s="1"/>
  <c r="P4" i="48"/>
  <c r="P21" s="1"/>
  <c r="D12" i="13"/>
  <c r="E37" i="14" s="1"/>
  <c r="D4" i="48"/>
  <c r="D21" s="1"/>
  <c r="E11" i="14"/>
  <c r="H28" i="48"/>
  <c r="G25"/>
  <c r="C22" i="13"/>
  <c r="C21"/>
  <c r="C20"/>
  <c r="O24" i="48"/>
  <c r="I25"/>
  <c r="P11" i="14"/>
  <c r="O12" i="13"/>
  <c r="P37" i="14" s="1"/>
  <c r="B10" i="48"/>
  <c r="C18" i="14"/>
  <c r="J7" i="48"/>
  <c r="P24"/>
  <c r="E5" i="17"/>
  <c r="C8"/>
  <c r="G24" i="48"/>
  <c r="I24"/>
  <c r="G81" i="14"/>
  <c r="D79"/>
  <c r="H79"/>
  <c r="H81" s="1"/>
  <c r="L79"/>
  <c r="L81" s="1"/>
  <c r="F79"/>
  <c r="J79"/>
  <c r="E68"/>
  <c r="E69" s="1"/>
  <c r="I68"/>
  <c r="M68"/>
  <c r="M69" s="1"/>
  <c r="D19" i="18"/>
  <c r="L19"/>
  <c r="B68" i="14"/>
  <c r="G68"/>
  <c r="G69" s="1"/>
  <c r="E81"/>
  <c r="M81"/>
  <c r="F19" i="18"/>
  <c r="D11" i="14"/>
  <c r="C4" i="48"/>
  <c r="M17" i="18"/>
  <c r="M18"/>
  <c r="F28" i="48" l="1"/>
  <c r="K28"/>
  <c r="J24"/>
  <c r="D28"/>
  <c r="D30"/>
  <c r="H25"/>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J5" i="15"/>
  <c r="F4" i="48"/>
  <c r="F21" s="1"/>
  <c r="B69" i="14"/>
  <c r="B4" i="6" s="1"/>
  <c r="F5" i="15"/>
  <c r="F16" s="1"/>
  <c r="B5"/>
  <c r="B16" s="1"/>
  <c r="E13" i="14"/>
  <c r="B5" i="16"/>
  <c r="B18" s="1"/>
  <c r="N5" i="15"/>
  <c r="N16" s="1"/>
  <c r="F12" i="13"/>
  <c r="G37" i="14" s="1"/>
  <c r="P5" i="48"/>
  <c r="P22" s="1"/>
  <c r="F13" i="16"/>
  <c r="E13"/>
  <c r="N13"/>
  <c r="J13"/>
  <c r="N12"/>
  <c r="J12"/>
  <c r="F12"/>
  <c r="E12"/>
  <c r="Q11" i="48"/>
  <c r="O5"/>
  <c r="R9" i="14"/>
  <c r="O28" i="48"/>
  <c r="H22"/>
  <c r="B46" i="13"/>
  <c r="E5" s="1"/>
  <c r="E8" s="1"/>
  <c r="K31" i="48"/>
  <c r="M25"/>
  <c r="M24"/>
  <c r="I31"/>
  <c r="C50" i="13"/>
  <c r="J5" s="1"/>
  <c r="J8" s="1"/>
  <c r="C5" i="48"/>
  <c r="Q15" i="14" l="1"/>
  <c r="Q23" s="1"/>
  <c r="H18"/>
  <c r="O22" i="16"/>
  <c r="P39" i="14" s="1"/>
  <c r="M10" i="48"/>
  <c r="M27" s="1"/>
  <c r="F22" i="14"/>
  <c r="C13"/>
  <c r="E12" i="13"/>
  <c r="F37" i="14" s="1"/>
  <c r="D22" i="16"/>
  <c r="E39" i="14" s="1"/>
  <c r="N4" i="48"/>
  <c r="N21" s="1"/>
  <c r="D20" i="15"/>
  <c r="E36" i="14" s="1"/>
  <c r="E41" s="1"/>
  <c r="G14" i="22"/>
  <c r="G9" i="48" s="1"/>
  <c r="O8"/>
  <c r="O25" s="1"/>
  <c r="E7"/>
  <c r="E24" s="1"/>
  <c r="P31"/>
  <c r="N7"/>
  <c r="N24" s="1"/>
  <c r="J16" i="15"/>
  <c r="E16"/>
  <c r="D8" i="48"/>
  <c r="D25" s="1"/>
  <c r="P41" i="14"/>
  <c r="P53" s="1"/>
  <c r="O22"/>
  <c r="L7" i="48"/>
  <c r="L24" s="1"/>
  <c r="M22" i="14"/>
  <c r="P15"/>
  <c r="P23"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I19" i="14"/>
  <c r="I20" s="1"/>
  <c r="I23" s="1"/>
  <c r="M18" i="22"/>
  <c r="N45" i="14" s="1"/>
  <c r="M9" i="48"/>
  <c r="N19" i="14"/>
  <c r="P14" i="48"/>
  <c r="B8"/>
  <c r="J5"/>
  <c r="J22" s="1"/>
  <c r="J20" i="15"/>
  <c r="K36" i="14" s="1"/>
  <c r="J55"/>
  <c r="L55"/>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O14" i="48" l="1"/>
  <c r="P55" i="14"/>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B22"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Q5" i="48"/>
  <c r="Q4"/>
  <c r="N22"/>
  <c r="R11" i="14"/>
  <c r="J21" i="48"/>
  <c r="C10" i="17" l="1"/>
  <c r="C12" s="1"/>
  <c r="D48" i="14" s="1"/>
  <c r="C56" i="22"/>
  <c r="C58" s="1"/>
  <c r="D44" i="14" s="1"/>
  <c r="D46" s="1"/>
  <c r="C17" i="49"/>
  <c r="C29" i="20"/>
  <c r="C10" i="13"/>
  <c r="C16" i="48" s="1"/>
  <c r="C16" i="22"/>
  <c r="C17" i="19"/>
  <c r="C19" s="1"/>
  <c r="D35" i="14" s="1"/>
  <c r="C20" i="16"/>
  <c r="C22" s="1"/>
  <c r="D39" i="14" s="1"/>
  <c r="C18" i="15"/>
  <c r="C20" s="1"/>
  <c r="D36" i="14" s="1"/>
  <c r="E22" i="16"/>
  <c r="F39" i="14" s="1"/>
  <c r="F41" s="1"/>
  <c r="F53" s="1"/>
  <c r="K13"/>
  <c r="K15" s="1"/>
  <c r="K23" s="1"/>
  <c r="G13"/>
  <c r="G15" s="1"/>
  <c r="G23" s="1"/>
  <c r="N8" i="48"/>
  <c r="N14" s="1"/>
  <c r="F8"/>
  <c r="F22" i="16"/>
  <c r="G39" i="14" s="1"/>
  <c r="G41" s="1"/>
  <c r="G53" s="1"/>
  <c r="O13"/>
  <c r="O15" s="1"/>
  <c r="N22" i="16"/>
  <c r="O39" i="14" s="1"/>
  <c r="O41" s="1"/>
  <c r="O53" s="1"/>
  <c r="E8" i="48"/>
  <c r="E25" s="1"/>
  <c r="E31" s="1"/>
  <c r="F13" i="14"/>
  <c r="F15" s="1"/>
  <c r="F23" s="1"/>
  <c r="J22" i="16"/>
  <c r="K39" i="14" s="1"/>
  <c r="K41" s="1"/>
  <c r="K53" s="1"/>
  <c r="J8" i="48"/>
  <c r="J25" s="1"/>
  <c r="J31" s="1"/>
  <c r="N55" i="14"/>
  <c r="H55"/>
  <c r="E55"/>
  <c r="C78"/>
  <c r="C81" s="1"/>
  <c r="J14" i="48"/>
  <c r="R19" i="14"/>
  <c r="R20" s="1"/>
  <c r="H14" i="48"/>
  <c r="G31"/>
  <c r="H26"/>
  <c r="H31" s="1"/>
  <c r="M53" i="14"/>
  <c r="M55" s="1"/>
  <c r="C12" i="13"/>
  <c r="D37" i="14" s="1"/>
  <c r="D41" s="1"/>
  <c r="F25" i="48"/>
  <c r="F31" s="1"/>
  <c r="F14"/>
  <c r="N25" l="1"/>
  <c r="N31" s="1"/>
  <c r="K55" i="14"/>
  <c r="E14" i="48"/>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<sst xmlns="http://schemas.openxmlformats.org/spreadsheetml/2006/main" count="2108" uniqueCount="850">
  <si>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</si>
  <si>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</si>
  <si>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</si>
  <si>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</si>
  <si>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</si>
  <si>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</si>
  <si>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</si>
  <si>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</si>
  <si>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</si>
  <si>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</si>
  <si>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</si>
  <si>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</si>
  <si>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</si>
  <si>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</si>
  <si>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</si>
  <si>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</si>
  <si>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</si>
  <si>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</si>
  <si>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</si>
  <si>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</si>
  <si>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</si>
  <si>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</si>
  <si>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</si>
  <si>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</si>
  <si>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</si>
  <si>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</si>
  <si>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</si>
  <si>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</si>
  <si>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</si>
  <si>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</si>
  <si>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</si>
  <si>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</si>
  <si>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</si>
  <si>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</si>
  <si>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</si>
  <si>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</si>
  <si>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</si>
  <si>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</si>
  <si>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</si>
  <si>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</si>
  <si>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</si>
  <si>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</si>
  <si>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</si>
  <si>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</si>
  <si>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</si>
  <si>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</si>
  <si>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</si>
  <si>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</si>
  <si>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</si>
  <si>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</si>
  <si>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</si>
  <si>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</si>
  <si>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</si>
  <si>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</si>
  <si>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</si>
  <si>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</si>
  <si>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</si>
  <si>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</si>
  <si>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</si>
  <si>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</si>
  <si>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</si>
  <si>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</si>
  <si>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</si>
  <si>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</si>
  <si>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</si>
  <si>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</si>
  <si>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</si>
  <si>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</si>
  <si>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</si>
  <si>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</si>
  <si>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</si>
  <si>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</si>
  <si>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</si>
  <si>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</si>
  <si>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</si>
  <si>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</si>
  <si>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</si>
  <si>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</si>
  <si>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</si>
  <si>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</si>
  <si>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</si>
  <si>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</si>
  <si>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</si>
  <si>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</si>
  <si>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</si>
  <si>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</si>
  <si>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</si>
  <si>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</si>
  <si>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</si>
  <si>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</si>
  <si>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</si>
  <si>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</si>
  <si>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</si>
  <si>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</si>
  <si>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</si>
  <si>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</si>
  <si>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</si>
  <si>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</si>
  <si>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</si>
  <si>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</si>
  <si>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</si>
  <si>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</si>
  <si>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</si>
  <si>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</si>
  <si>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</si>
  <si>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</si>
  <si>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</si>
  <si>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</si>
  <si>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</si>
  <si>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</si>
  <si>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</si>
  <si>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</si>
  <si>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</si>
  <si>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</si>
  <si>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</si>
  <si>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</si>
  <si>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</si>
  <si>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</si>
  <si>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</si>
  <si>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</si>
  <si>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</si>
  <si>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</si>
  <si>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</si>
  <si>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</si>
  <si>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</si>
  <si>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</si>
  <si>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</si>
  <si>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</si>
  <si>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</si>
  <si>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</si>
  <si>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</si>
  <si>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</si>
  <si>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</si>
  <si>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</si>
  <si>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</si>
  <si>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</si>
  <si>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</si>
  <si>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</si>
  <si>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</si>
  <si>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</si>
  <si>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</si>
  <si>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</si>
  <si>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</si>
  <si>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</si>
  <si>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</si>
  <si>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</si>
  <si>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</si>
  <si>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</si>
  <si>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</si>
  <si>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</si>
  <si>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</si>
  <si>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</si>
  <si>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</si>
  <si>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</si>
  <si>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</si>
  <si>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</si>
  <si>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</si>
  <si>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</si>
  <si>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</si>
  <si>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</si>
  <si>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</si>
  <si>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</si>
  <si>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</si>
  <si>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</si>
  <si>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</si>
  <si>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</si>
  <si>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</si>
  <si>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</si>
  <si>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</si>
  <si>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</si>
  <si>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</si>
  <si>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</si>
  <si>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</si>
  <si>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</si>
  <si>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</si>
  <si>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</si>
  <si>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</si>
  <si>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</si>
  <si>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</si>
  <si>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</si>
  <si>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</si>
  <si>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</si>
  <si>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</si>
  <si>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</si>
  <si>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</si>
  <si>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</si>
  <si>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</si>
  <si>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</si>
  <si>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</si>
  <si>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</si>
  <si>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</si>
  <si>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</si>
  <si>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</si>
  <si>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</si>
  <si>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</si>
  <si>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</si>
  <si>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</si>
  <si>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</si>
  <si>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</si>
  <si>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</si>
  <si>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</si>
  <si>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</si>
  <si>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</si>
  <si>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</si>
  <si>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</si>
  <si>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</si>
  <si>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</si>
  <si>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</si>
  <si>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</si>
  <si>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</si>
  <si>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</si>
  <si>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</si>
  <si>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</si>
  <si>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</si>
  <si>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</si>
  <si>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</si>
  <si>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</si>
  <si>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</si>
  <si>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</si>
  <si>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</si>
  <si>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</si>
  <si>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</si>
  <si>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</si>
  <si>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</si>
  <si>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</si>
  <si>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</si>
  <si>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</si>
  <si>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</si>
  <si>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</si>
  <si>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</si>
  <si>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</si>
  <si>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</si>
  <si>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</si>
  <si>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</si>
  <si>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</si>
  <si>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</si>
  <si>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</si>
  <si>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</si>
  <si>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</si>
  <si>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</si>
  <si>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</si>
  <si>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</si>
  <si>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</si>
  <si>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</si>
  <si>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</si>
  <si>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</si>
  <si>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</si>
  <si>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</si>
  <si>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</si>
  <si>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</si>
  <si>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</si>
  <si>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</si>
  <si>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</si>
  <si>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</si>
  <si>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</si>
  <si>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</si>
  <si>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</si>
  <si>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</si>
  <si>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</si>
  <si>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</si>
  <si>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</si>
  <si>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</si>
  <si>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</si>
  <si>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</si>
  <si>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</si>
  <si>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</si>
  <si>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</si>
  <si>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</si>
  <si>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</si>
  <si>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</si>
  <si>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</si>
  <si>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</si>
  <si>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</si>
  <si>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</si>
  <si>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</si>
  <si>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</si>
  <si>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</si>
  <si>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</si>
  <si>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</si>
  <si>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</si>
  <si>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</si>
  <si>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</si>
  <si>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</si>
  <si>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</si>
  <si>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</si>
  <si>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</si>
  <si>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</si>
  <si>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</si>
  <si>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</si>
  <si>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</si>
  <si>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</si>
  <si>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</si>
  <si>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</si>
  <si>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</si>
  <si>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</si>
  <si>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</si>
  <si>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</si>
  <si>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</si>
  <si>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</si>
  <si>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</si>
  <si>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</si>
  <si>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</si>
  <si>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</si>
  <si>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</si>
  <si>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</si>
  <si>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</si>
  <si>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</si>
  <si>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</si>
  <si>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</si>
  <si>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</si>
  <si>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</si>
  <si>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</si>
  <si>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</si>
  <si>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</si>
  <si>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</si>
  <si>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</si>
  <si>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</si>
  <si>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</si>
  <si>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</si>
  <si>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</si>
  <si>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</si>
  <si>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</si>
  <si>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</si>
  <si>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</si>
  <si>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</si>
  <si>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</si>
  <si>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</si>
  <si>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</si>
  <si>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</si>
  <si>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</si>
  <si>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</si>
  <si>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</si>
  <si>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</si>
  <si>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</si>
  <si>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</si>
  <si>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</si>
  <si>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</si>
  <si>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</si>
  <si>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</si>
  <si>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</si>
  <si>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</si>
  <si>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</si>
  <si>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</si>
  <si>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</si>
  <si>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</si>
  <si>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</si>
  <si>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</si>
  <si>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</si>
  <si>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</si>
  <si>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</si>
  <si>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</si>
  <si>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</si>
  <si>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</si>
  <si>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</si>
  <si>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</si>
  <si>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</si>
  <si>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</si>
  <si>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</si>
  <si>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</si>
  <si>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</si>
  <si>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</si>
  <si>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</si>
  <si>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</si>
  <si>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</si>
  <si>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</si>
  <si>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</si>
  <si>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</si>
  <si>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</si>
  <si>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</si>
  <si>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</si>
  <si>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</si>
  <si>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</si>
  <si>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</si>
  <si>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</si>
  <si>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</si>
  <si>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</si>
  <si>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</si>
  <si>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</si>
  <si>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</si>
  <si>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</si>
  <si>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</si>
  <si>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</si>
  <si>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</si>
  <si>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</si>
  <si>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</si>
  <si>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</si>
  <si>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</si>
  <si>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</si>
  <si>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</si>
  <si>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</si>
  <si>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</si>
  <si>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</si>
  <si>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</si>
  <si>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</si>
  <si>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</si>
  <si>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</si>
  <si>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</si>
  <si>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</si>
  <si>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</si>
  <si>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</si>
  <si>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</si>
  <si>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</si>
  <si>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</si>
  <si>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</si>
  <si>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</si>
  <si>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</si>
  <si>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</si>
  <si>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</si>
  <si>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</si>
  <si>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</si>
  <si>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</si>
  <si>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</si>
  <si>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</si>
  <si>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</si>
  <si>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</si>
  <si>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</si>
  <si>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</si>
  <si>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</si>
  <si>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</si>
  <si>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</si>
  <si>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</si>
  <si>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</si>
  <si>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</si>
  <si>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</si>
  <si>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</si>
  <si>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</si>
  <si>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</si>
  <si>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</si>
  <si>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</si>
  <si>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</si>
  <si>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</si>
  <si>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</si>
  <si>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</si>
  <si>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</si>
  <si>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</si>
  <si>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</si>
  <si>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</si>
  <si>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</si>
  <si>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</si>
  <si>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</si>
  <si>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</si>
  <si>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</si>
  <si>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</si>
  <si>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</si>
  <si>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</si>
  <si>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</si>
  <si>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</si>
  <si>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</si>
  <si>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</si>
  <si>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</si>
  <si>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</si>
  <si>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</si>
  <si>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</si>
  <si>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</si>
  <si>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</si>
  <si>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</si>
  <si>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</si>
  <si>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</si>
  <si>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</si>
  <si>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</si>
  <si>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</si>
  <si>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</si>
  <si>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</si>
  <si>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</si>
  <si>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</si>
  <si>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</si>
  <si>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</si>
  <si>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</si>
  <si>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</si>
  <si>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</si>
  <si>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</si>
  <si>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</si>
  <si>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</si>
  <si>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</si>
  <si>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</si>
  <si>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</si>
  <si>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</si>
  <si>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</si>
  <si>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</si>
  <si>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</si>
  <si>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</si>
  <si>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</si>
  <si>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</si>
  <si>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</si>
  <si>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</si>
  <si>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</si>
  <si>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</si>
  <si>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</si>
  <si>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</si>
  <si>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</si>
  <si>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</si>
  <si>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</si>
  <si>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</si>
  <si>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</si>
  <si>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</si>
  <si>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</si>
  <si>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</si>
  <si>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</si>
  <si>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</si>
  <si>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</si>
  <si>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</si>
  <si>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</si>
  <si>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</si>
  <si>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</si>
  <si>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</si>
  <si>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</si>
  <si>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</si>
  <si>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</si>
  <si>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</si>
  <si>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</si>
  <si>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</si>
  <si>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</si>
  <si>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</si>
  <si>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</si>
  <si>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</si>
  <si>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</si>
  <si>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</si>
  <si>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</si>
  <si>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</si>
  <si>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</si>
  <si>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</si>
  <si>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</si>
  <si>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</si>
  <si>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</si>
  <si>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</si>
  <si>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</si>
  <si>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</si>
  <si>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</si>
  <si>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</si>
  <si>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</si>
  <si>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</si>
  <si>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</si>
  <si>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</si>
  <si>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</si>
  <si>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</si>
  <si>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</si>
  <si>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</si>
  <si>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</si>
  <si>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</si>
  <si>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</si>
  <si>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</si>
  <si>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</si>
  <si>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</si>
  <si>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</si>
  <si>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</si>
  <si>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</si>
  <si>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</si>
  <si>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</si>
  <si>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</si>
  <si>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</si>
  <si>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</si>
  <si>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</si>
  <si>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</si>
  <si>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</si>
  <si>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</si>
  <si>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</si>
  <si>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</si>
  <si>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</si>
  <si>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</si>
  <si>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</si>
  <si>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</si>
  <si>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</si>
  <si>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</si>
  <si>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</si>
  <si>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</si>
  <si>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</si>
  <si>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</si>
  <si>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</si>
  <si>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</si>
  <si>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</si>
  <si>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</si>
  <si>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</si>
  <si>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</si>
  <si>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</si>
  <si>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</si>
  <si>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</si>
  <si>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</si>
  <si>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</si>
  <si>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</si>
  <si>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</si>
  <si>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</si>
  <si>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</si>
  <si>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</si>
  <si>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</si>
  <si>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</si>
  <si>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</si>
  <si>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</si>
  <si>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</si>
  <si>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</si>
  <si>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</si>
  <si>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</si>
  <si>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</si>
  <si>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</si>
  <si>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</si>
  <si>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</si>
  <si>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</si>
  <si>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</si>
  <si>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</si>
  <si>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</si>
  <si>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</si>
  <si>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</si>
  <si>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</si>
  <si>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</si>
  <si>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</si>
  <si>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</si>
  <si>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</si>
  <si>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</si>
  <si>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</si>
  <si>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</si>
  <si>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</si>
  <si>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</si>
  <si>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</si>
  <si>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</si>
  <si>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</si>
  <si>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</si>
  <si>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</si>
  <si>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</si>
  <si>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</si>
  <si>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</si>
  <si>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</si>
  <si>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</si>
  <si>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</si>
  <si>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</si>
  <si>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</si>
  <si>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</si>
  <si>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</si>
  <si>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</si>
  <si>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</si>
  <si>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</si>
  <si>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</si>
  <si>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</si>
  <si>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</si>
  <si>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</si>
  <si>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</si>
  <si>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</si>
  <si>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</si>
  <si>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</si>
  <si>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</si>
  <si>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</si>
  <si>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</si>
  <si>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</si>
  <si>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</si>
  <si>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</si>
  <si>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</si>
  <si>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</si>
  <si>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</si>
  <si>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</si>
  <si>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</si>
  <si>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</si>
  <si>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</si>
  <si>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</si>
  <si>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</si>
  <si>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</si>
  <si>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</si>
  <si>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</si>
  <si>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</si>
  <si>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</si>
  <si>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</si>
  <si>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</si>
  <si>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</si>
  <si>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</si>
  <si>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</si>
  <si>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</si>
  <si>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</si>
  <si>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</si>
  <si>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</si>
  <si>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</si>
  <si>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</si>
  <si>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</si>
  <si>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</si>
  <si>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</si>
  <si>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</si>
  <si>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</si>
  <si>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</si>
  <si>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</si>
  <si>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</si>
  <si>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</si>
  <si>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</si>
  <si>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</si>
  <si>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</si>
  <si>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</si>
  <si>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</si>
  <si>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</si>
  <si>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</si>
  <si>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</si>
  <si>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</si>
  <si>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</si>
  <si>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</si>
  <si>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</si>
  <si>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</si>
  <si>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</si>
  <si>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</si>
  <si>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</si>
  <si>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</si>
  <si>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</si>
  <si>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</si>
  <si>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</si>
  <si>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</si>
  <si>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</si>
  <si>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</si>
  <si>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</si>
  <si>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</si>
  <si>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</si>
  <si>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</si>
  <si>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</si>
  <si>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</si>
  <si>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</si>
  <si>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</si>
  <si>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</si>
  <si>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</si>
  <si>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</si>
  <si>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</si>
  <si>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</si>
  <si>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</si>
  <si>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</si>
  <si>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</si>
  <si>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</si>
  <si>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</si>
  <si>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</si>
  <si>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</si>
  <si>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</si>
  <si>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</si>
  <si>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</si>
  <si>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</si>
  <si>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</si>
  <si>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</si>
  <si>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</si>
  <si>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</si>
  <si>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</si>
  <si>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</si>
  <si>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</si>
  <si>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</si>
  <si>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</si>
  <si>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</si>
  <si>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</si>
  <si>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</si>
  <si>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</si>
  <si>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</si>
  <si>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</si>
  <si>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</si>
  <si>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</si>
  <si>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</si>
  <si>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</si>
  <si>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</si>
  <si>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</si>
  <si>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</si>
  <si>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</si>
  <si>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</si>
  <si>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</si>
  <si>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</si>
  <si>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</si>
  <si>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</si>
  <si>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</si>
  <si>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</si>
  <si>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</si>
  <si>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</si>
  <si>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</si>
  <si>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</si>
  <si>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</si>
  <si>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</si>
  <si>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</si>
  <si>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</si>
  <si>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</si>
  <si>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</si>
  <si>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</si>
  <si>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</si>
  <si>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</si>
  <si>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</si>
  <si>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</si>
  <si>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</si>
  <si>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</si>
  <si>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</si>
  <si>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</si>
  <si>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</si>
  <si>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</si>
  <si>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</si>
  <si>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</si>
  <si>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</si>
  <si>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</si>
  <si>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</si>
  <si>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</si>
  <si>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</si>
  <si>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</si>
  <si>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</si>
  <si>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</si>
  <si>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</si>
  <si>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</si>
  <si>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</si>
  <si>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</si>
  <si>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</si>
  <si>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</si>
  <si>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</si>
  <si>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</si>
  <si>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</si>
  <si>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</si>
  <si>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</si>
  <si>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</si>
  <si>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</si>
  <si>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</si>
  <si>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</si>
  <si>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</si>
  <si>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</si>
  <si>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</si>
  <si>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</si>
  <si>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</si>
  <si>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</si>
  <si>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</si>
  <si>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</si>
  <si>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</si>
  <si>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</si>
  <si>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</si>
  <si>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</si>
  <si>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</si>
  <si>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</si>
  <si>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</si>
  <si>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</si>
  <si>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</si>
  <si>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</si>
  <si>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</si>
  <si>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</si>
  <si>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</si>
  <si>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</si>
  <si>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</si>
  <si>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</si>
  <si>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</si>
  <si>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</si>
  <si>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</si>
  <si>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</si>
  <si>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</si>
  <si>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</si>
  <si>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</si>
  <si>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</si>
  <si>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</si>
  <si>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</si>
  <si>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</si>
  <si>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</si>
  <si>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11044</t>
  </si>
  <si>
    <t>STABROEK</t>
  </si>
  <si>
    <t>Eandis (januari 2018); Infrax (juni 2018)</t>
  </si>
  <si>
    <t>MOW (september 2017)</t>
  </si>
  <si>
    <t>referentietaak LNE (2017); Jaarverslag De Lijn (2016)</t>
  </si>
  <si>
    <t>VEA (april 2018)</t>
  </si>
  <si>
    <t>VEA (januari 2017)</t>
  </si>
  <si>
    <t>VEA (juni 2018)</t>
  </si>
  <si>
    <t>Dingemans Mout NV</t>
  </si>
  <si>
    <t>Laageind 43 , 2940 Stabroek</t>
  </si>
  <si>
    <t>WKK-0591 Dingemans Mout</t>
  </si>
  <si>
    <t>interne verbrandingsmotor</t>
  </si>
  <si>
    <t>WKK interne verbrandinsgmotor (gas)</t>
  </si>
  <si>
    <t>IVEKA</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</si>
</sst>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129729.17901192229</c:v>
                </c:pt>
                <c:pt idx="1">
                  <c:v>31335.151530067287</c:v>
                </c:pt>
                <c:pt idx="2">
                  <c:v>871.60299999999995</c:v>
                </c:pt>
                <c:pt idx="3">
                  <c:v>3232.8479806898549</c:v>
                </c:pt>
                <c:pt idx="4">
                  <c:v>38480.405197702363</c:v>
                </c:pt>
                <c:pt idx="5">
                  <c:v>132611.09185722854</c:v>
                </c:pt>
                <c:pt idx="6">
                  <c:v>1667.9313767086094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700864"/>
        <c:axId val="183755904"/>
      </c:barChart>
      <c:catAx>
        <c:axId val="183700864"/>
        <c:scaling>
          <c:orientation val="minMax"/>
        </c:scaling>
        <c:axPos val="b"/>
        <c:numFmt formatCode="General" sourceLinked="0"/>
        <c:tickLblPos val="nextTo"/>
        <c:crossAx val="183755904"/>
        <c:crosses val="autoZero"/>
        <c:auto val="1"/>
        <c:lblAlgn val="ctr"/>
        <c:lblOffset val="100"/>
      </c:catAx>
      <c:valAx>
        <c:axId val="183755904"/>
        <c:scaling>
          <c:orientation val="minMax"/>
        </c:scaling>
        <c:axPos val="l"/>
        <c:majorGridlines>
          <c:spPr>
            <a:ln>
              <a:noFill/>
            </a:ln>
          </c:spPr>
        </c:majorGridlines>
        <c:numFmt formatCode="#,##0" sourceLinked="1"/>
        <c:tickLblPos val="nextTo"/>
        <c:crossAx val="18370086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129729.17901192229</c:v>
                </c:pt>
                <c:pt idx="1">
                  <c:v>31335.151530067287</c:v>
                </c:pt>
                <c:pt idx="2">
                  <c:v>871.60299999999995</c:v>
                </c:pt>
                <c:pt idx="3">
                  <c:v>3232.8479806898549</c:v>
                </c:pt>
                <c:pt idx="4">
                  <c:v>38480.405197702363</c:v>
                </c:pt>
                <c:pt idx="5">
                  <c:v>132611.09185722854</c:v>
                </c:pt>
                <c:pt idx="6">
                  <c:v>1667.9313767086094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24358.348906829848</c:v>
                </c:pt>
                <c:pt idx="1">
                  <c:v>6350.7042129208066</c:v>
                </c:pt>
                <c:pt idx="2">
                  <c:v>175.26550704305654</c:v>
                </c:pt>
                <c:pt idx="3">
                  <c:v>750.68256801824396</c:v>
                </c:pt>
                <c:pt idx="4">
                  <c:v>7728.3916575825942</c:v>
                </c:pt>
                <c:pt idx="5">
                  <c:v>33242.773537333902</c:v>
                </c:pt>
                <c:pt idx="6">
                  <c:v>421.40380194972676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174464"/>
        <c:axId val="184176000"/>
      </c:barChart>
      <c:catAx>
        <c:axId val="184174464"/>
        <c:scaling>
          <c:orientation val="minMax"/>
        </c:scaling>
        <c:axPos val="b"/>
        <c:numFmt formatCode="General" sourceLinked="0"/>
        <c:tickLblPos val="nextTo"/>
        <c:crossAx val="184176000"/>
        <c:crosses val="autoZero"/>
        <c:auto val="1"/>
        <c:lblAlgn val="ctr"/>
        <c:lblOffset val="100"/>
      </c:catAx>
      <c:valAx>
        <c:axId val="184176000"/>
        <c:scaling>
          <c:orientation val="minMax"/>
        </c:scaling>
        <c:axPos val="l"/>
        <c:majorGridlines>
          <c:spPr>
            <a:ln>
              <a:noFill/>
            </a:ln>
          </c:spPr>
        </c:majorGridlines>
        <c:numFmt formatCode="#,##0" sourceLinked="1"/>
        <c:tickLblPos val="nextTo"/>
        <c:crossAx val="18417446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24358.348906829848</c:v>
                </c:pt>
                <c:pt idx="1">
                  <c:v>6350.7042129208066</c:v>
                </c:pt>
                <c:pt idx="2">
                  <c:v>175.26550704305654</c:v>
                </c:pt>
                <c:pt idx="3">
                  <c:v>750.68256801824396</c:v>
                </c:pt>
                <c:pt idx="4">
                  <c:v>7728.3916575825942</c:v>
                </c:pt>
                <c:pt idx="5">
                  <c:v>33242.773537333902</c:v>
                </c:pt>
                <c:pt idx="6">
                  <c:v>421.40380194972676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11044</v>
      </c>
      <c r="B6" s="415"/>
      <c r="C6" s="416"/>
    </row>
    <row r="7" spans="1:7" s="413" customFormat="1" ht="15.75" customHeight="1">
      <c r="A7" s="417" t="str">
        <f>txtMunicipality</f>
        <v>STABROEK</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11044</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7745</v>
      </c>
      <c r="C9" s="342">
        <v>7895</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1135.9000000000001</v>
      </c>
    </row>
    <row r="15" spans="1:6">
      <c r="A15" s="348" t="s">
        <v>184</v>
      </c>
      <c r="B15" s="334">
        <v>7</v>
      </c>
    </row>
    <row r="16" spans="1:6">
      <c r="A16" s="348" t="s">
        <v>6</v>
      </c>
      <c r="B16" s="334">
        <v>318</v>
      </c>
    </row>
    <row r="17" spans="1:6">
      <c r="A17" s="348" t="s">
        <v>7</v>
      </c>
      <c r="B17" s="334">
        <v>334</v>
      </c>
    </row>
    <row r="18" spans="1:6">
      <c r="A18" s="348" t="s">
        <v>8</v>
      </c>
      <c r="B18" s="334">
        <v>486</v>
      </c>
    </row>
    <row r="19" spans="1:6">
      <c r="A19" s="348" t="s">
        <v>9</v>
      </c>
      <c r="B19" s="334">
        <v>415</v>
      </c>
    </row>
    <row r="20" spans="1:6">
      <c r="A20" s="348" t="s">
        <v>10</v>
      </c>
      <c r="B20" s="334">
        <v>397</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126</v>
      </c>
    </row>
    <row r="27" spans="1:6">
      <c r="A27" s="348" t="s">
        <v>17</v>
      </c>
      <c r="B27" s="334">
        <v>853</v>
      </c>
    </row>
    <row r="28" spans="1:6" s="356" customFormat="1">
      <c r="A28" s="355" t="s">
        <v>18</v>
      </c>
      <c r="B28" s="355">
        <v>7819</v>
      </c>
    </row>
    <row r="29" spans="1:6">
      <c r="A29" s="355" t="s">
        <v>744</v>
      </c>
      <c r="B29" s="355">
        <v>71</v>
      </c>
      <c r="C29" s="356"/>
      <c r="D29" s="356"/>
      <c r="E29" s="356"/>
      <c r="F29" s="356"/>
    </row>
    <row r="30" spans="1:6">
      <c r="A30" s="341" t="s">
        <v>745</v>
      </c>
      <c r="B30" s="341">
        <v>3</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2718.2795292351998</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6577</v>
      </c>
      <c r="D39" s="334">
        <v>100705373.13887611</v>
      </c>
      <c r="E39" s="334">
        <v>7833</v>
      </c>
      <c r="F39" s="334">
        <v>26147093.846799601</v>
      </c>
    </row>
    <row r="40" spans="1:6">
      <c r="A40" s="348" t="s">
        <v>30</v>
      </c>
      <c r="B40" s="348" t="s">
        <v>29</v>
      </c>
      <c r="C40" s="334">
        <v>1</v>
      </c>
      <c r="D40" s="334">
        <v>9134</v>
      </c>
      <c r="E40" s="334">
        <v>2</v>
      </c>
      <c r="F40" s="334">
        <v>8075.1038490110004</v>
      </c>
    </row>
    <row r="41" spans="1:6">
      <c r="A41" s="348" t="s">
        <v>32</v>
      </c>
      <c r="B41" s="348" t="s">
        <v>33</v>
      </c>
      <c r="C41" s="334">
        <v>75</v>
      </c>
      <c r="D41" s="334">
        <v>1647396.6</v>
      </c>
      <c r="E41" s="334">
        <v>111</v>
      </c>
      <c r="F41" s="334">
        <v>583081.26534989802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13</v>
      </c>
      <c r="D44" s="334">
        <v>458313</v>
      </c>
      <c r="E44" s="334">
        <v>8</v>
      </c>
      <c r="F44" s="334">
        <v>105364.094382517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4</v>
      </c>
      <c r="D48" s="334">
        <v>160386</v>
      </c>
      <c r="E48" s="334">
        <v>35</v>
      </c>
      <c r="F48" s="334">
        <v>2559554.4046690301</v>
      </c>
    </row>
    <row r="49" spans="1:6">
      <c r="A49" s="348" t="s">
        <v>32</v>
      </c>
      <c r="B49" s="348" t="s">
        <v>40</v>
      </c>
      <c r="C49" s="334">
        <v>0</v>
      </c>
      <c r="D49" s="334">
        <v>0</v>
      </c>
      <c r="E49" s="334">
        <v>0</v>
      </c>
      <c r="F49" s="334">
        <v>0</v>
      </c>
    </row>
    <row r="50" spans="1:6">
      <c r="A50" s="348" t="s">
        <v>32</v>
      </c>
      <c r="B50" s="348" t="s">
        <v>41</v>
      </c>
      <c r="C50" s="334">
        <v>14</v>
      </c>
      <c r="D50" s="334">
        <v>34361095</v>
      </c>
      <c r="E50" s="334">
        <v>12</v>
      </c>
      <c r="F50" s="334">
        <v>444852.07583353802</v>
      </c>
    </row>
    <row r="51" spans="1:6">
      <c r="A51" s="348" t="s">
        <v>42</v>
      </c>
      <c r="B51" s="348" t="s">
        <v>43</v>
      </c>
      <c r="C51" s="334">
        <v>12</v>
      </c>
      <c r="D51" s="334">
        <v>192653</v>
      </c>
      <c r="E51" s="334">
        <v>33</v>
      </c>
      <c r="F51" s="334">
        <v>294266.64832283102</v>
      </c>
    </row>
    <row r="52" spans="1:6">
      <c r="A52" s="348" t="s">
        <v>42</v>
      </c>
      <c r="B52" s="348" t="s">
        <v>29</v>
      </c>
      <c r="C52" s="334">
        <v>0</v>
      </c>
      <c r="D52" s="334">
        <v>0</v>
      </c>
      <c r="E52" s="334">
        <v>6</v>
      </c>
      <c r="F52" s="334">
        <v>39425.361804811</v>
      </c>
    </row>
    <row r="53" spans="1:6">
      <c r="A53" s="348" t="s">
        <v>44</v>
      </c>
      <c r="B53" s="348" t="s">
        <v>45</v>
      </c>
      <c r="C53" s="334">
        <v>75</v>
      </c>
      <c r="D53" s="334">
        <v>1415839.3</v>
      </c>
      <c r="E53" s="334">
        <v>228</v>
      </c>
      <c r="F53" s="334">
        <v>603858.50634928199</v>
      </c>
    </row>
    <row r="54" spans="1:6">
      <c r="A54" s="348" t="s">
        <v>46</v>
      </c>
      <c r="B54" s="348" t="s">
        <v>47</v>
      </c>
      <c r="C54" s="334">
        <v>0</v>
      </c>
      <c r="D54" s="334">
        <v>0</v>
      </c>
      <c r="E54" s="334">
        <v>1</v>
      </c>
      <c r="F54" s="334">
        <v>871603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32</v>
      </c>
      <c r="D57" s="334">
        <v>724696</v>
      </c>
      <c r="E57" s="334">
        <v>34</v>
      </c>
      <c r="F57" s="334">
        <v>182760.17613906701</v>
      </c>
    </row>
    <row r="58" spans="1:6">
      <c r="A58" s="348" t="s">
        <v>49</v>
      </c>
      <c r="B58" s="348" t="s">
        <v>51</v>
      </c>
      <c r="C58" s="334">
        <v>30</v>
      </c>
      <c r="D58" s="334">
        <v>2287556</v>
      </c>
      <c r="E58" s="334">
        <v>28</v>
      </c>
      <c r="F58" s="334">
        <v>256195.791833661</v>
      </c>
    </row>
    <row r="59" spans="1:6">
      <c r="A59" s="348" t="s">
        <v>49</v>
      </c>
      <c r="B59" s="348" t="s">
        <v>52</v>
      </c>
      <c r="C59" s="334">
        <v>85</v>
      </c>
      <c r="D59" s="334">
        <v>3067408.2</v>
      </c>
      <c r="E59" s="334">
        <v>87</v>
      </c>
      <c r="F59" s="334">
        <v>3970253.2031295202</v>
      </c>
    </row>
    <row r="60" spans="1:6">
      <c r="A60" s="348" t="s">
        <v>49</v>
      </c>
      <c r="B60" s="348" t="s">
        <v>53</v>
      </c>
      <c r="C60" s="334">
        <v>37</v>
      </c>
      <c r="D60" s="334">
        <v>1983980</v>
      </c>
      <c r="E60" s="334">
        <v>40</v>
      </c>
      <c r="F60" s="334">
        <v>1092829.3101151299</v>
      </c>
    </row>
    <row r="61" spans="1:6">
      <c r="A61" s="348" t="s">
        <v>49</v>
      </c>
      <c r="B61" s="348" t="s">
        <v>54</v>
      </c>
      <c r="C61" s="334">
        <v>169</v>
      </c>
      <c r="D61" s="334">
        <v>9020116.5309999995</v>
      </c>
      <c r="E61" s="334">
        <v>225</v>
      </c>
      <c r="F61" s="334">
        <v>2681520.14581645</v>
      </c>
    </row>
    <row r="62" spans="1:6">
      <c r="A62" s="348" t="s">
        <v>49</v>
      </c>
      <c r="B62" s="348" t="s">
        <v>55</v>
      </c>
      <c r="C62" s="334">
        <v>10</v>
      </c>
      <c r="D62" s="334">
        <v>2152343</v>
      </c>
      <c r="E62" s="334">
        <v>3</v>
      </c>
      <c r="F62" s="334">
        <v>199775.49346872399</v>
      </c>
    </row>
    <row r="63" spans="1:6">
      <c r="A63" s="348" t="s">
        <v>49</v>
      </c>
      <c r="B63" s="348" t="s">
        <v>29</v>
      </c>
      <c r="C63" s="334">
        <v>0</v>
      </c>
      <c r="D63" s="334">
        <v>0</v>
      </c>
      <c r="E63" s="334">
        <v>96</v>
      </c>
      <c r="F63" s="334">
        <v>2967430.2417252799</v>
      </c>
    </row>
    <row r="64" spans="1:6">
      <c r="A64" s="348" t="s">
        <v>56</v>
      </c>
      <c r="B64" s="348" t="s">
        <v>57</v>
      </c>
      <c r="C64" s="334">
        <v>0</v>
      </c>
      <c r="D64" s="334">
        <v>0</v>
      </c>
      <c r="E64" s="334">
        <v>0</v>
      </c>
      <c r="F64" s="334">
        <v>0</v>
      </c>
    </row>
    <row r="65" spans="1:6">
      <c r="A65" s="348" t="s">
        <v>56</v>
      </c>
      <c r="B65" s="348" t="s">
        <v>29</v>
      </c>
      <c r="C65" s="334">
        <v>1</v>
      </c>
      <c r="D65" s="334">
        <v>24087</v>
      </c>
      <c r="E65" s="334">
        <v>1</v>
      </c>
      <c r="F65" s="334">
        <v>4992.1801626821998</v>
      </c>
    </row>
    <row r="66" spans="1:6">
      <c r="A66" s="348" t="s">
        <v>56</v>
      </c>
      <c r="B66" s="348" t="s">
        <v>58</v>
      </c>
      <c r="C66" s="334">
        <v>0</v>
      </c>
      <c r="D66" s="334">
        <v>0</v>
      </c>
      <c r="E66" s="334">
        <v>7</v>
      </c>
      <c r="F66" s="334">
        <v>128968.487500068</v>
      </c>
    </row>
    <row r="67" spans="1:6">
      <c r="A67" s="355" t="s">
        <v>56</v>
      </c>
      <c r="B67" s="355" t="s">
        <v>59</v>
      </c>
      <c r="C67" s="334">
        <v>0</v>
      </c>
      <c r="D67" s="334">
        <v>0</v>
      </c>
      <c r="E67" s="334">
        <v>68</v>
      </c>
      <c r="F67" s="334">
        <v>657151.873211378</v>
      </c>
    </row>
    <row r="68" spans="1:6">
      <c r="A68" s="341" t="s">
        <v>56</v>
      </c>
      <c r="B68" s="341" t="s">
        <v>60</v>
      </c>
      <c r="C68" s="334">
        <v>4</v>
      </c>
      <c r="D68" s="334">
        <v>83006</v>
      </c>
      <c r="E68" s="334">
        <v>3</v>
      </c>
      <c r="F68" s="334">
        <v>14693.4379660547</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31653547</v>
      </c>
      <c r="E73" s="476">
        <v>32100383.313208457</v>
      </c>
    </row>
    <row r="74" spans="1:6">
      <c r="A74" s="348" t="s">
        <v>64</v>
      </c>
      <c r="B74" s="348" t="s">
        <v>657</v>
      </c>
      <c r="C74" s="1272" t="s">
        <v>659</v>
      </c>
      <c r="D74" s="476">
        <v>2619457.5674535381</v>
      </c>
      <c r="E74" s="476">
        <v>2572565.8724254109</v>
      </c>
    </row>
    <row r="75" spans="1:6">
      <c r="A75" s="348" t="s">
        <v>65</v>
      </c>
      <c r="B75" s="348" t="s">
        <v>656</v>
      </c>
      <c r="C75" s="1272" t="s">
        <v>660</v>
      </c>
      <c r="D75" s="476">
        <v>14818098</v>
      </c>
      <c r="E75" s="476">
        <v>14978649.404446732</v>
      </c>
    </row>
    <row r="76" spans="1:6">
      <c r="A76" s="348" t="s">
        <v>65</v>
      </c>
      <c r="B76" s="348" t="s">
        <v>657</v>
      </c>
      <c r="C76" s="1272" t="s">
        <v>661</v>
      </c>
      <c r="D76" s="476">
        <v>239933.56745353813</v>
      </c>
      <c r="E76" s="476">
        <v>246530.86644396861</v>
      </c>
    </row>
    <row r="77" spans="1:6">
      <c r="A77" s="348" t="s">
        <v>66</v>
      </c>
      <c r="B77" s="348" t="s">
        <v>656</v>
      </c>
      <c r="C77" s="1272" t="s">
        <v>662</v>
      </c>
      <c r="D77" s="476">
        <v>70579661</v>
      </c>
      <c r="E77" s="476">
        <v>74938994.252319351</v>
      </c>
    </row>
    <row r="78" spans="1:6">
      <c r="A78" s="341" t="s">
        <v>66</v>
      </c>
      <c r="B78" s="341" t="s">
        <v>657</v>
      </c>
      <c r="C78" s="341" t="s">
        <v>663</v>
      </c>
      <c r="D78" s="1273">
        <v>17260496</v>
      </c>
      <c r="E78" s="1273">
        <v>18581854.271923162</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452370.86509292375</v>
      </c>
      <c r="C83" s="476">
        <v>454361.85669656866</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3346.3846058713771</v>
      </c>
    </row>
    <row r="92" spans="1:6">
      <c r="A92" s="341" t="s">
        <v>69</v>
      </c>
      <c r="B92" s="342">
        <v>929.56706601558153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5071</v>
      </c>
    </row>
    <row r="98" spans="1:6">
      <c r="A98" s="348" t="s">
        <v>72</v>
      </c>
      <c r="B98" s="334">
        <v>4</v>
      </c>
    </row>
    <row r="99" spans="1:6">
      <c r="A99" s="348" t="s">
        <v>73</v>
      </c>
      <c r="B99" s="334">
        <v>7</v>
      </c>
    </row>
    <row r="100" spans="1:6">
      <c r="A100" s="348" t="s">
        <v>74</v>
      </c>
      <c r="B100" s="334">
        <v>451</v>
      </c>
    </row>
    <row r="101" spans="1:6">
      <c r="A101" s="348" t="s">
        <v>75</v>
      </c>
      <c r="B101" s="334">
        <v>52</v>
      </c>
    </row>
    <row r="102" spans="1:6">
      <c r="A102" s="348" t="s">
        <v>76</v>
      </c>
      <c r="B102" s="334">
        <v>84</v>
      </c>
    </row>
    <row r="103" spans="1:6">
      <c r="A103" s="348" t="s">
        <v>77</v>
      </c>
      <c r="B103" s="334">
        <v>115</v>
      </c>
    </row>
    <row r="104" spans="1:6">
      <c r="A104" s="348" t="s">
        <v>78</v>
      </c>
      <c r="B104" s="334">
        <v>786</v>
      </c>
    </row>
    <row r="105" spans="1:6">
      <c r="A105" s="341" t="s">
        <v>79</v>
      </c>
      <c r="B105" s="341">
        <v>4</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75" t="s">
        <v>647</v>
      </c>
      <c r="B111" s="1276">
        <v>1</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8</v>
      </c>
      <c r="C123" s="334">
        <v>20</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105</v>
      </c>
    </row>
    <row r="130" spans="1:6">
      <c r="A130" s="348" t="s">
        <v>295</v>
      </c>
      <c r="B130" s="334">
        <v>0</v>
      </c>
    </row>
    <row r="131" spans="1:6">
      <c r="A131" s="348" t="s">
        <v>296</v>
      </c>
      <c r="B131" s="334">
        <v>1</v>
      </c>
    </row>
    <row r="132" spans="1:6">
      <c r="A132" s="341" t="s">
        <v>297</v>
      </c>
      <c r="B132" s="342">
        <v>15</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46696.513140736919</v>
      </c>
      <c r="C3" s="43" t="s">
        <v>170</v>
      </c>
      <c r="D3" s="43"/>
      <c r="E3" s="154"/>
      <c r="F3" s="43"/>
      <c r="G3" s="43"/>
      <c r="H3" s="43"/>
      <c r="I3" s="43"/>
      <c r="J3" s="43"/>
      <c r="K3" s="96"/>
    </row>
    <row r="4" spans="1:11">
      <c r="A4" s="383" t="s">
        <v>171</v>
      </c>
      <c r="B4" s="49">
        <f>IF(ISERROR('SEAP template'!B69),0,'SEAP template'!B69)</f>
        <v>5175.9516718869581</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213.88235294117646</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0.20108410255937229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305.54621848739504</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1285.7142857142858</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871.60299999999995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871.60299999999995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0.20108410255937229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175.26550704305654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26155.168950648615</v>
      </c>
      <c r="C5" s="17">
        <f>IF(ISERROR('Eigen informatie GS &amp; warmtenet'!B57),0,'Eigen informatie GS &amp; warmtenet'!B57)</f>
        <v>0</v>
      </c>
      <c r="D5" s="30">
        <f>(SUM(HH_hh_gas_kWh,HH_rest_gas_kWh)/1000)*0.902</f>
        <v>90844.485439266253</v>
      </c>
      <c r="E5" s="17">
        <f>B46*B57</f>
        <v>332.4644364668855</v>
      </c>
      <c r="F5" s="17">
        <f>B51*B62</f>
        <v>0</v>
      </c>
      <c r="G5" s="18"/>
      <c r="H5" s="17"/>
      <c r="I5" s="17"/>
      <c r="J5" s="17">
        <f>B50*B61+C50*C61</f>
        <v>0</v>
      </c>
      <c r="K5" s="17"/>
      <c r="L5" s="17"/>
      <c r="M5" s="17"/>
      <c r="N5" s="17">
        <f>B48*B59+C48*C59</f>
        <v>8416.7255796691425</v>
      </c>
      <c r="O5" s="17">
        <f>B69*B70*B71</f>
        <v>195.41666666666669</v>
      </c>
      <c r="P5" s="17">
        <f>B77*B78*B79/1000-B77*B78*B79/1000/B80</f>
        <v>438.5333333333333</v>
      </c>
    </row>
    <row r="6" spans="1:16">
      <c r="A6" s="16" t="s">
        <v>621</v>
      </c>
      <c r="B6" s="843">
        <f>kWh_PV_kleiner_dan_10kW</f>
        <v>3346.3846058713771</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29501.55355651999</v>
      </c>
      <c r="C8" s="21">
        <f>C5</f>
        <v>0</v>
      </c>
      <c r="D8" s="21">
        <f>D5</f>
        <v>90844.485439266253</v>
      </c>
      <c r="E8" s="21">
        <f>E5</f>
        <v>332.4644364668855</v>
      </c>
      <c r="F8" s="21">
        <f>F5</f>
        <v>0</v>
      </c>
      <c r="G8" s="21"/>
      <c r="H8" s="21"/>
      <c r="I8" s="21"/>
      <c r="J8" s="21">
        <f>J5</f>
        <v>0</v>
      </c>
      <c r="K8" s="21"/>
      <c r="L8" s="21">
        <f>L5</f>
        <v>0</v>
      </c>
      <c r="M8" s="21">
        <f>M5</f>
        <v>0</v>
      </c>
      <c r="N8" s="21">
        <f>N5</f>
        <v>8416.7255796691425</v>
      </c>
      <c r="O8" s="21">
        <f>O5</f>
        <v>195.41666666666669</v>
      </c>
      <c r="P8" s="21">
        <f>P5</f>
        <v>438.5333333333333</v>
      </c>
    </row>
    <row r="9" spans="1:16">
      <c r="B9" s="19"/>
      <c r="C9" s="19"/>
      <c r="D9" s="258"/>
      <c r="E9" s="19"/>
      <c r="F9" s="19"/>
      <c r="G9" s="19"/>
      <c r="H9" s="19"/>
      <c r="I9" s="19"/>
      <c r="J9" s="19"/>
      <c r="K9" s="19"/>
      <c r="L9" s="19"/>
      <c r="M9" s="19"/>
      <c r="N9" s="19"/>
      <c r="O9" s="19"/>
      <c r="P9" s="19"/>
    </row>
    <row r="10" spans="1:16">
      <c r="A10" s="24" t="s">
        <v>214</v>
      </c>
      <c r="B10" s="25">
        <f ca="1">'EF ele_warmte'!B12</f>
        <v>0.20108410255937229</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5932.2934210200801</v>
      </c>
      <c r="C12" s="23">
        <f ca="1">C10*C8</f>
        <v>0</v>
      </c>
      <c r="D12" s="23">
        <f>D8*D10</f>
        <v>18350.586058731784</v>
      </c>
      <c r="E12" s="23">
        <f>E10*E8</f>
        <v>75.469427077983013</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5071</v>
      </c>
      <c r="C18" s="166" t="s">
        <v>111</v>
      </c>
      <c r="D18" s="228"/>
      <c r="E18" s="15"/>
    </row>
    <row r="19" spans="1:7">
      <c r="A19" s="171" t="s">
        <v>72</v>
      </c>
      <c r="B19" s="37">
        <f>aantalw2001_ander</f>
        <v>4</v>
      </c>
      <c r="C19" s="166" t="s">
        <v>111</v>
      </c>
      <c r="D19" s="229"/>
      <c r="E19" s="15"/>
    </row>
    <row r="20" spans="1:7">
      <c r="A20" s="171" t="s">
        <v>73</v>
      </c>
      <c r="B20" s="37">
        <f>aantalw2001_propaan</f>
        <v>7</v>
      </c>
      <c r="C20" s="167">
        <f>IF(ISERROR(B20/SUM($B$20,$B$21,$B$22)*100),0,B20/SUM($B$20,$B$21,$B$22)*100)</f>
        <v>1.3725490196078431</v>
      </c>
      <c r="D20" s="229"/>
      <c r="E20" s="15"/>
    </row>
    <row r="21" spans="1:7">
      <c r="A21" s="171" t="s">
        <v>74</v>
      </c>
      <c r="B21" s="37">
        <f>aantalw2001_elektriciteit</f>
        <v>451</v>
      </c>
      <c r="C21" s="167">
        <f>IF(ISERROR(B21/SUM($B$20,$B$21,$B$22)*100),0,B21/SUM($B$20,$B$21,$B$22)*100)</f>
        <v>88.431372549019599</v>
      </c>
      <c r="D21" s="229"/>
      <c r="E21" s="15"/>
    </row>
    <row r="22" spans="1:7">
      <c r="A22" s="171" t="s">
        <v>75</v>
      </c>
      <c r="B22" s="37">
        <f>aantalw2001_hout</f>
        <v>52</v>
      </c>
      <c r="C22" s="167">
        <f>IF(ISERROR(B22/SUM($B$20,$B$21,$B$22)*100),0,B22/SUM($B$20,$B$21,$B$22)*100)</f>
        <v>10.196078431372548</v>
      </c>
      <c r="D22" s="229"/>
      <c r="E22" s="15"/>
    </row>
    <row r="23" spans="1:7">
      <c r="A23" s="171" t="s">
        <v>76</v>
      </c>
      <c r="B23" s="37">
        <f>aantalw2001_niet_gespec</f>
        <v>84</v>
      </c>
      <c r="C23" s="166" t="s">
        <v>111</v>
      </c>
      <c r="D23" s="228"/>
      <c r="E23" s="15"/>
    </row>
    <row r="24" spans="1:7">
      <c r="A24" s="171" t="s">
        <v>77</v>
      </c>
      <c r="B24" s="37">
        <f>aantalw2001_steenkool</f>
        <v>115</v>
      </c>
      <c r="C24" s="166" t="s">
        <v>111</v>
      </c>
      <c r="D24" s="229"/>
      <c r="E24" s="15"/>
    </row>
    <row r="25" spans="1:7">
      <c r="A25" s="171" t="s">
        <v>78</v>
      </c>
      <c r="B25" s="37">
        <f>aantalw2001_stookolie</f>
        <v>786</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794</v>
      </c>
      <c r="B28" s="37">
        <f>aantalHuishoudens2011</f>
        <v>7745</v>
      </c>
      <c r="C28" s="36"/>
      <c r="D28" s="228"/>
    </row>
    <row r="29" spans="1:7" s="15" customFormat="1">
      <c r="A29" s="230" t="s">
        <v>795</v>
      </c>
      <c r="B29" s="37">
        <f>SUM(HH_hh_gas_aantal,HH_rest_gas_aantal)</f>
        <v>6578</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6578</v>
      </c>
      <c r="C32" s="167">
        <f>IF(ISERROR(B32/SUM($B$32,$B$34,$B$35,$B$36,$B$38,$B$39)*100),0,B32/SUM($B$32,$B$34,$B$35,$B$36,$B$38,$B$39)*100)</f>
        <v>85.185185185185176</v>
      </c>
      <c r="D32" s="233"/>
      <c r="G32" s="15"/>
    </row>
    <row r="33" spans="1:7">
      <c r="A33" s="171" t="s">
        <v>72</v>
      </c>
      <c r="B33" s="34" t="s">
        <v>111</v>
      </c>
      <c r="C33" s="167"/>
      <c r="D33" s="233"/>
      <c r="G33" s="15"/>
    </row>
    <row r="34" spans="1:7">
      <c r="A34" s="171" t="s">
        <v>73</v>
      </c>
      <c r="B34" s="33">
        <f>IF((($B$28-$B$32-$B$39-$B$77-$B$38)*C20/100)&lt;0,0,($B$28-$B$32-$B$39-$B$77-$B$38)*C20/100)</f>
        <v>15.701960784313727</v>
      </c>
      <c r="C34" s="167">
        <f>IF(ISERROR(B34/SUM($B$32,$B$34,$B$35,$B$36,$B$38,$B$39)*100),0,B34/SUM($B$32,$B$34,$B$35,$B$36,$B$38,$B$39)*100)</f>
        <v>0.20334059549745823</v>
      </c>
      <c r="D34" s="233"/>
      <c r="G34" s="15"/>
    </row>
    <row r="35" spans="1:7">
      <c r="A35" s="171" t="s">
        <v>74</v>
      </c>
      <c r="B35" s="33">
        <f>IF((($B$28-$B$32-$B$39-$B$77-$B$38)*C21/100)&lt;0,0,($B$28-$B$32-$B$39-$B$77-$B$38)*C21/100)</f>
        <v>1011.6549019607842</v>
      </c>
      <c r="C35" s="167">
        <f>IF(ISERROR(B35/SUM($B$32,$B$34,$B$35,$B$36,$B$38,$B$39)*100),0,B35/SUM($B$32,$B$34,$B$35,$B$36,$B$38,$B$39)*100)</f>
        <v>13.100944081336236</v>
      </c>
      <c r="D35" s="233"/>
      <c r="G35" s="15"/>
    </row>
    <row r="36" spans="1:7">
      <c r="A36" s="171" t="s">
        <v>75</v>
      </c>
      <c r="B36" s="33">
        <f>IF((($B$28-$B$32-$B$39-$B$77-$B$38)*C22/100)&lt;0,0,($B$28-$B$32-$B$39-$B$77-$B$38)*C22/100)</f>
        <v>116.64313725490196</v>
      </c>
      <c r="C36" s="167">
        <f>IF(ISERROR(B36/SUM($B$32,$B$34,$B$35,$B$36,$B$38,$B$39)*100),0,B36/SUM($B$32,$B$34,$B$35,$B$36,$B$38,$B$39)*100)</f>
        <v>1.5105301379811182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6578</v>
      </c>
      <c r="C44" s="34" t="s">
        <v>111</v>
      </c>
      <c r="D44" s="174"/>
    </row>
    <row r="45" spans="1:7">
      <c r="A45" s="171" t="s">
        <v>72</v>
      </c>
      <c r="B45" s="33" t="str">
        <f t="shared" si="0"/>
        <v>-</v>
      </c>
      <c r="C45" s="34" t="s">
        <v>111</v>
      </c>
      <c r="D45" s="174"/>
    </row>
    <row r="46" spans="1:7">
      <c r="A46" s="171" t="s">
        <v>73</v>
      </c>
      <c r="B46" s="33">
        <f t="shared" si="0"/>
        <v>15.701960784313727</v>
      </c>
      <c r="C46" s="34" t="s">
        <v>111</v>
      </c>
      <c r="D46" s="174"/>
    </row>
    <row r="47" spans="1:7">
      <c r="A47" s="171" t="s">
        <v>74</v>
      </c>
      <c r="B47" s="33">
        <f t="shared" si="0"/>
        <v>1011.6549019607842</v>
      </c>
      <c r="C47" s="34" t="s">
        <v>111</v>
      </c>
      <c r="D47" s="174"/>
    </row>
    <row r="48" spans="1:7">
      <c r="A48" s="171" t="s">
        <v>75</v>
      </c>
      <c r="B48" s="33">
        <f t="shared" si="0"/>
        <v>116.64313725490196</v>
      </c>
      <c r="C48" s="33">
        <f>B48*10</f>
        <v>1166.4313725490197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11350.764362227832</v>
      </c>
      <c r="C5" s="17">
        <f>IF(ISERROR('Eigen informatie GS &amp; warmtenet'!B58),0,'Eigen informatie GS &amp; warmtenet'!B58)</f>
        <v>0</v>
      </c>
      <c r="D5" s="30">
        <f>SUM(D6:D12)</f>
        <v>17350.961957362</v>
      </c>
      <c r="E5" s="17">
        <f>SUM(E6:E12)</f>
        <v>199.76420547293247</v>
      </c>
      <c r="F5" s="17">
        <f>SUM(F6:F12)</f>
        <v>1940.0794370374338</v>
      </c>
      <c r="G5" s="18"/>
      <c r="H5" s="17"/>
      <c r="I5" s="17"/>
      <c r="J5" s="17">
        <f>SUM(J6:J12)</f>
        <v>1.115271424181476E-2</v>
      </c>
      <c r="K5" s="17"/>
      <c r="L5" s="17"/>
      <c r="M5" s="17"/>
      <c r="N5" s="17">
        <f>SUM(N6:N12)</f>
        <v>455.43708191950731</v>
      </c>
      <c r="O5" s="17">
        <f>B38*B39*B40</f>
        <v>0</v>
      </c>
      <c r="P5" s="17">
        <f>B46*B47*B48/1000-B46*B47*B48/1000/B49</f>
        <v>38.133333333333333</v>
      </c>
      <c r="R5" s="32"/>
    </row>
    <row r="6" spans="1:18">
      <c r="A6" s="32" t="s">
        <v>54</v>
      </c>
      <c r="B6" s="37">
        <f>B26</f>
        <v>2681.5201458164502</v>
      </c>
      <c r="C6" s="33"/>
      <c r="D6" s="37">
        <f>IF(ISERROR(TER_kantoor_gas_kWh/1000),0,TER_kantoor_gas_kWh/1000)*0.902</f>
        <v>8136.1451109620002</v>
      </c>
      <c r="E6" s="33">
        <f>$C$26*'E Balans VL '!I12/100/3.6*1000000</f>
        <v>1.6806876414349255E-2</v>
      </c>
      <c r="F6" s="33">
        <f>$C$26*('E Balans VL '!L12+'E Balans VL '!N12)/100/3.6*1000000</f>
        <v>402.95754909709501</v>
      </c>
      <c r="G6" s="34"/>
      <c r="H6" s="33"/>
      <c r="I6" s="33"/>
      <c r="J6" s="33">
        <f>$C$26*('E Balans VL '!D12+'E Balans VL '!E12)/100/3.6*1000000</f>
        <v>0</v>
      </c>
      <c r="K6" s="33"/>
      <c r="L6" s="33"/>
      <c r="M6" s="33"/>
      <c r="N6" s="33">
        <f>$C$26*'E Balans VL '!Y12/100/3.6*1000000</f>
        <v>2.5644764404798428</v>
      </c>
      <c r="O6" s="33"/>
      <c r="P6" s="33"/>
      <c r="R6" s="32"/>
    </row>
    <row r="7" spans="1:18">
      <c r="A7" s="32" t="s">
        <v>53</v>
      </c>
      <c r="B7" s="37">
        <f t="shared" ref="B7:B12" si="0">B27</f>
        <v>1092.8293101151298</v>
      </c>
      <c r="C7" s="33"/>
      <c r="D7" s="37">
        <f>IF(ISERROR(TER_horeca_gas_kWh/1000),0,TER_horeca_gas_kWh/1000)*0.902</f>
        <v>1789.5499600000001</v>
      </c>
      <c r="E7" s="33">
        <f>$C$27*'E Balans VL '!I9/100/3.6*1000000</f>
        <v>15.649133690234892</v>
      </c>
      <c r="F7" s="33">
        <f>$C$27*('E Balans VL '!L9+'E Balans VL '!N9)/100/3.6*1000000</f>
        <v>138.38823355980685</v>
      </c>
      <c r="G7" s="34"/>
      <c r="H7" s="33"/>
      <c r="I7" s="33"/>
      <c r="J7" s="33">
        <f>$C$27*('E Balans VL '!D9+'E Balans VL '!E9)/100/3.6*1000000</f>
        <v>0</v>
      </c>
      <c r="K7" s="33"/>
      <c r="L7" s="33"/>
      <c r="M7" s="33"/>
      <c r="N7" s="33">
        <f>$C$27*'E Balans VL '!Y9/100/3.6*1000000</f>
        <v>0.3141643318401029</v>
      </c>
      <c r="O7" s="33"/>
      <c r="P7" s="33"/>
      <c r="R7" s="32"/>
    </row>
    <row r="8" spans="1:18">
      <c r="A8" s="6" t="s">
        <v>52</v>
      </c>
      <c r="B8" s="37">
        <f t="shared" si="0"/>
        <v>3970.25320312952</v>
      </c>
      <c r="C8" s="33"/>
      <c r="D8" s="37">
        <f>IF(ISERROR(TER_handel_gas_kWh/1000),0,TER_handel_gas_kWh/1000)*0.902</f>
        <v>2766.8021964000004</v>
      </c>
      <c r="E8" s="33">
        <f>$C$28*'E Balans VL '!I13/100/3.6*1000000</f>
        <v>144.00059408781709</v>
      </c>
      <c r="F8" s="33">
        <f>$C$28*('E Balans VL '!L13+'E Balans VL '!N13)/100/3.6*1000000</f>
        <v>764.71096829235057</v>
      </c>
      <c r="G8" s="34"/>
      <c r="H8" s="33"/>
      <c r="I8" s="33"/>
      <c r="J8" s="33">
        <f>$C$28*('E Balans VL '!D13+'E Balans VL '!E13)/100/3.6*1000000</f>
        <v>0</v>
      </c>
      <c r="K8" s="33"/>
      <c r="L8" s="33"/>
      <c r="M8" s="33"/>
      <c r="N8" s="33">
        <f>$C$28*'E Balans VL '!Y13/100/3.6*1000000</f>
        <v>5.4997142008548989</v>
      </c>
      <c r="O8" s="33"/>
      <c r="P8" s="33"/>
      <c r="R8" s="32"/>
    </row>
    <row r="9" spans="1:18">
      <c r="A9" s="32" t="s">
        <v>51</v>
      </c>
      <c r="B9" s="37">
        <f t="shared" si="0"/>
        <v>256.19579183366102</v>
      </c>
      <c r="C9" s="33"/>
      <c r="D9" s="37">
        <f>IF(ISERROR(TER_gezond_gas_kWh/1000),0,TER_gezond_gas_kWh/1000)*0.902</f>
        <v>2063.3755120000001</v>
      </c>
      <c r="E9" s="33">
        <f>$C$29*'E Balans VL '!I10/100/3.6*1000000</f>
        <v>1.6040386045255192E-2</v>
      </c>
      <c r="F9" s="33">
        <f>$C$29*('E Balans VL '!L10+'E Balans VL '!N10)/100/3.6*1000000</f>
        <v>38.058664918789219</v>
      </c>
      <c r="G9" s="34"/>
      <c r="H9" s="33"/>
      <c r="I9" s="33"/>
      <c r="J9" s="33">
        <f>$C$29*('E Balans VL '!D10+'E Balans VL '!E10)/100/3.6*1000000</f>
        <v>0</v>
      </c>
      <c r="K9" s="33"/>
      <c r="L9" s="33"/>
      <c r="M9" s="33"/>
      <c r="N9" s="33">
        <f>$C$29*'E Balans VL '!Y10/100/3.6*1000000</f>
        <v>3.9628612288638441</v>
      </c>
      <c r="O9" s="33"/>
      <c r="P9" s="33"/>
      <c r="R9" s="32"/>
    </row>
    <row r="10" spans="1:18">
      <c r="A10" s="32" t="s">
        <v>50</v>
      </c>
      <c r="B10" s="37">
        <f t="shared" si="0"/>
        <v>182.76017613906703</v>
      </c>
      <c r="C10" s="33"/>
      <c r="D10" s="37">
        <f>IF(ISERROR(TER_ander_gas_kWh/1000),0,TER_ander_gas_kWh/1000)*0.902</f>
        <v>653.675792</v>
      </c>
      <c r="E10" s="33">
        <f>$C$30*'E Balans VL '!I14/100/3.6*1000000</f>
        <v>0.21784359921257473</v>
      </c>
      <c r="F10" s="33">
        <f>$C$30*('E Balans VL '!L14+'E Balans VL '!N14)/100/3.6*1000000</f>
        <v>47.818186957257524</v>
      </c>
      <c r="G10" s="34"/>
      <c r="H10" s="33"/>
      <c r="I10" s="33"/>
      <c r="J10" s="33">
        <f>$C$30*('E Balans VL '!D14+'E Balans VL '!E14)/100/3.6*1000000</f>
        <v>3.9670070238698903E-3</v>
      </c>
      <c r="K10" s="33"/>
      <c r="L10" s="33"/>
      <c r="M10" s="33"/>
      <c r="N10" s="33">
        <f>$C$30*'E Balans VL '!Y14/100/3.6*1000000</f>
        <v>155.19546949873458</v>
      </c>
      <c r="O10" s="33"/>
      <c r="P10" s="33"/>
      <c r="R10" s="32"/>
    </row>
    <row r="11" spans="1:18">
      <c r="A11" s="32" t="s">
        <v>55</v>
      </c>
      <c r="B11" s="37">
        <f t="shared" si="0"/>
        <v>199.77549346872399</v>
      </c>
      <c r="C11" s="33"/>
      <c r="D11" s="37">
        <f>IF(ISERROR(TER_onderwijs_gas_kWh/1000),0,TER_onderwijs_gas_kWh/1000)*0.902</f>
        <v>1941.4133859999999</v>
      </c>
      <c r="E11" s="33">
        <f>$C$31*'E Balans VL '!I11/100/3.6*1000000</f>
        <v>3.0142904274138953</v>
      </c>
      <c r="F11" s="33">
        <f>$C$31*('E Balans VL '!L11+'E Balans VL '!N11)/100/3.6*1000000</f>
        <v>35.003857964174905</v>
      </c>
      <c r="G11" s="34"/>
      <c r="H11" s="33"/>
      <c r="I11" s="33"/>
      <c r="J11" s="33">
        <f>$C$31*('E Balans VL '!D11+'E Balans VL '!E11)/100/3.6*1000000</f>
        <v>0</v>
      </c>
      <c r="K11" s="33"/>
      <c r="L11" s="33"/>
      <c r="M11" s="33"/>
      <c r="N11" s="33">
        <f>$C$31*'E Balans VL '!Y11/100/3.6*1000000</f>
        <v>0.56218342613237171</v>
      </c>
      <c r="O11" s="33"/>
      <c r="P11" s="33"/>
      <c r="R11" s="32"/>
    </row>
    <row r="12" spans="1:18">
      <c r="A12" s="32" t="s">
        <v>260</v>
      </c>
      <c r="B12" s="37">
        <f t="shared" si="0"/>
        <v>2967.4302417252798</v>
      </c>
      <c r="C12" s="33"/>
      <c r="D12" s="37">
        <f>IF(ISERROR(TER_rest_gas_kWh/1000),0,TER_rest_gas_kWh/1000)*0.902</f>
        <v>0</v>
      </c>
      <c r="E12" s="33">
        <f>$C$32*'E Balans VL '!I8/100/3.6*1000000</f>
        <v>36.849496405794397</v>
      </c>
      <c r="F12" s="33">
        <f>$C$32*('E Balans VL '!L8+'E Balans VL '!N8)/100/3.6*1000000</f>
        <v>513.14197624795975</v>
      </c>
      <c r="G12" s="34"/>
      <c r="H12" s="33"/>
      <c r="I12" s="33"/>
      <c r="J12" s="33">
        <f>$C$32*('E Balans VL '!D8+'E Balans VL '!E8)/100/3.6*1000000</f>
        <v>7.1857072179448691E-3</v>
      </c>
      <c r="K12" s="33"/>
      <c r="L12" s="33"/>
      <c r="M12" s="33"/>
      <c r="N12" s="33">
        <f>$C$32*'E Balans VL '!Y8/100/3.6*1000000</f>
        <v>287.33821279260167</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11350.764362227832</v>
      </c>
      <c r="C16" s="21">
        <f t="shared" ca="1" si="1"/>
        <v>0</v>
      </c>
      <c r="D16" s="21">
        <f t="shared" ca="1" si="1"/>
        <v>17350.961957362</v>
      </c>
      <c r="E16" s="21">
        <f t="shared" si="1"/>
        <v>199.76420547293247</v>
      </c>
      <c r="F16" s="21">
        <f t="shared" ca="1" si="1"/>
        <v>1940.0794370374338</v>
      </c>
      <c r="G16" s="21">
        <f t="shared" si="1"/>
        <v>0</v>
      </c>
      <c r="H16" s="21">
        <f t="shared" si="1"/>
        <v>0</v>
      </c>
      <c r="I16" s="21">
        <f t="shared" si="1"/>
        <v>0</v>
      </c>
      <c r="J16" s="21">
        <f t="shared" si="1"/>
        <v>1.115271424181476E-2</v>
      </c>
      <c r="K16" s="21">
        <f t="shared" si="1"/>
        <v>0</v>
      </c>
      <c r="L16" s="21">
        <f t="shared" ca="1" si="1"/>
        <v>0</v>
      </c>
      <c r="M16" s="21">
        <f t="shared" si="1"/>
        <v>0</v>
      </c>
      <c r="N16" s="21">
        <f t="shared" ca="1" si="1"/>
        <v>455.43708191950731</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0.20108410255937229</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2282.4582651414894</v>
      </c>
      <c r="C20" s="23">
        <f t="shared" ref="C20:P20" ca="1" si="2">C16*C18</f>
        <v>0</v>
      </c>
      <c r="D20" s="23">
        <f t="shared" ca="1" si="2"/>
        <v>3504.8943153871242</v>
      </c>
      <c r="E20" s="23">
        <f t="shared" si="2"/>
        <v>45.346474642355673</v>
      </c>
      <c r="F20" s="23">
        <f t="shared" ca="1" si="2"/>
        <v>518.00120968899489</v>
      </c>
      <c r="G20" s="23">
        <f t="shared" si="2"/>
        <v>0</v>
      </c>
      <c r="H20" s="23">
        <f t="shared" si="2"/>
        <v>0</v>
      </c>
      <c r="I20" s="23">
        <f t="shared" si="2"/>
        <v>0</v>
      </c>
      <c r="J20" s="23">
        <f t="shared" si="2"/>
        <v>3.9480608416024247E-3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2681.5201458164502</v>
      </c>
      <c r="C26" s="39">
        <f>IF(ISERROR(B26*3.6/1000000/'E Balans VL '!Z12*100),0,B26*3.6/1000000/'E Balans VL '!Z12*100)</f>
        <v>5.6683088011526717E-2</v>
      </c>
      <c r="D26" s="237" t="s">
        <v>754</v>
      </c>
      <c r="F26" s="6"/>
    </row>
    <row r="27" spans="1:18">
      <c r="A27" s="231" t="s">
        <v>53</v>
      </c>
      <c r="B27" s="33">
        <f>IF(ISERROR(TER_horeca_ele_kWh/1000),0,TER_horeca_ele_kWh/1000)</f>
        <v>1092.8293101151298</v>
      </c>
      <c r="C27" s="39">
        <f>IF(ISERROR(B27*3.6/1000000/'E Balans VL '!Z9*100),0,B27*3.6/1000000/'E Balans VL '!Z9*100)</f>
        <v>8.6147327198097451E-2</v>
      </c>
      <c r="D27" s="237" t="s">
        <v>754</v>
      </c>
      <c r="F27" s="6"/>
    </row>
    <row r="28" spans="1:18">
      <c r="A28" s="171" t="s">
        <v>52</v>
      </c>
      <c r="B28" s="33">
        <f>IF(ISERROR(TER_handel_ele_kWh/1000),0,TER_handel_ele_kWh/1000)</f>
        <v>3970.25320312952</v>
      </c>
      <c r="C28" s="39">
        <f>IF(ISERROR(B28*3.6/1000000/'E Balans VL '!Z13*100),0,B28*3.6/1000000/'E Balans VL '!Z13*100)</f>
        <v>0.11523278957532082</v>
      </c>
      <c r="D28" s="237" t="s">
        <v>754</v>
      </c>
      <c r="F28" s="6"/>
    </row>
    <row r="29" spans="1:18">
      <c r="A29" s="231" t="s">
        <v>51</v>
      </c>
      <c r="B29" s="33">
        <f>IF(ISERROR(TER_gezond_ele_kWh/1000),0,TER_gezond_ele_kWh/1000)</f>
        <v>256.19579183366102</v>
      </c>
      <c r="C29" s="39">
        <f>IF(ISERROR(B29*3.6/1000000/'E Balans VL '!Z10*100),0,B29*3.6/1000000/'E Balans VL '!Z10*100)</f>
        <v>2.6981623726030888E-2</v>
      </c>
      <c r="D29" s="237" t="s">
        <v>754</v>
      </c>
      <c r="F29" s="6"/>
    </row>
    <row r="30" spans="1:18">
      <c r="A30" s="231" t="s">
        <v>50</v>
      </c>
      <c r="B30" s="33">
        <f>IF(ISERROR(TER_ander_ele_kWh/1000),0,TER_ander_ele_kWh/1000)</f>
        <v>182.76017613906703</v>
      </c>
      <c r="C30" s="39">
        <f>IF(ISERROR(B30*3.6/1000000/'E Balans VL '!Z14*100),0,B30*3.6/1000000/'E Balans VL '!Z14*100)</f>
        <v>1.3480430287330382E-2</v>
      </c>
      <c r="D30" s="237" t="s">
        <v>754</v>
      </c>
      <c r="F30" s="6"/>
    </row>
    <row r="31" spans="1:18">
      <c r="A31" s="231" t="s">
        <v>55</v>
      </c>
      <c r="B31" s="33">
        <f>IF(ISERROR(TER_onderwijs_ele_kWh/1000),0,TER_onderwijs_ele_kWh/1000)</f>
        <v>199.77549346872399</v>
      </c>
      <c r="C31" s="39">
        <f>IF(ISERROR(B31*3.6/1000000/'E Balans VL '!Z11*100),0,B31*3.6/1000000/'E Balans VL '!Z11*100)</f>
        <v>4.961361306351221E-2</v>
      </c>
      <c r="D31" s="237" t="s">
        <v>754</v>
      </c>
    </row>
    <row r="32" spans="1:18">
      <c r="A32" s="231" t="s">
        <v>260</v>
      </c>
      <c r="B32" s="33">
        <f>IF(ISERROR(TER_rest_ele_kWh/1000),0,TER_rest_ele_kWh/1000)</f>
        <v>2967.4302417252798</v>
      </c>
      <c r="C32" s="39">
        <f>IF(ISERROR(B32*3.6/1000000/'E Balans VL '!Z8*100),0,B32*3.6/1000000/'E Balans VL '!Z8*100)</f>
        <v>2.4418012026149002E-2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3692.8518402349832</v>
      </c>
      <c r="C5" s="17">
        <f>IF(ISERROR('Eigen informatie GS &amp; warmtenet'!B59),0,'Eigen informatie GS &amp; warmtenet'!B59)</f>
        <v>0</v>
      </c>
      <c r="D5" s="30">
        <f>SUM(D6:D15)</f>
        <v>33037.725921199999</v>
      </c>
      <c r="E5" s="17">
        <f>SUM(E6:E15)</f>
        <v>313.68402333491503</v>
      </c>
      <c r="F5" s="17">
        <f>SUM(F6:F15)</f>
        <v>1013.6848442102244</v>
      </c>
      <c r="G5" s="18"/>
      <c r="H5" s="17"/>
      <c r="I5" s="17"/>
      <c r="J5" s="17">
        <f>SUM(J6:J15)</f>
        <v>9.1631560971813233</v>
      </c>
      <c r="K5" s="17"/>
      <c r="L5" s="17"/>
      <c r="M5" s="17"/>
      <c r="N5" s="17">
        <f>SUM(N6:N15)</f>
        <v>799.00969833934846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105.364094382517</v>
      </c>
      <c r="C8" s="33"/>
      <c r="D8" s="37">
        <f>IF( ISERROR(IND_metaal_Gas_kWH/1000),0,IND_metaal_Gas_kWH/1000)*0.902</f>
        <v>413.398326</v>
      </c>
      <c r="E8" s="33">
        <f>C30*'E Balans VL '!I18/100/3.6*1000000</f>
        <v>0.96872108623713338</v>
      </c>
      <c r="F8" s="33">
        <f>C30*'E Balans VL '!L18/100/3.6*1000000+C30*'E Balans VL '!N18/100/3.6*1000000</f>
        <v>9.8796441272897706</v>
      </c>
      <c r="G8" s="34"/>
      <c r="H8" s="33"/>
      <c r="I8" s="33"/>
      <c r="J8" s="40">
        <f>C30*'E Balans VL '!D18/100/3.6*1000000+C30*'E Balans VL '!E18/100/3.6*1000000</f>
        <v>0</v>
      </c>
      <c r="K8" s="33"/>
      <c r="L8" s="33"/>
      <c r="M8" s="33"/>
      <c r="N8" s="33">
        <f>C30*'E Balans VL '!Y18/100/3.6*1000000</f>
        <v>1.5031929278650107</v>
      </c>
      <c r="O8" s="33"/>
      <c r="P8" s="33"/>
      <c r="R8" s="32"/>
    </row>
    <row r="9" spans="1:18">
      <c r="A9" s="6" t="s">
        <v>33</v>
      </c>
      <c r="B9" s="37">
        <f t="shared" si="0"/>
        <v>583.08126534989799</v>
      </c>
      <c r="C9" s="33"/>
      <c r="D9" s="37">
        <f>IF( ISERROR(IND_andere_gas_kWh/1000),0,IND_andere_gas_kWh/1000)*0.902</f>
        <v>1485.9517332</v>
      </c>
      <c r="E9" s="33">
        <f>C31*'E Balans VL '!I19/100/3.6*1000000</f>
        <v>170.44600511513895</v>
      </c>
      <c r="F9" s="33">
        <f>C31*'E Balans VL '!L19/100/3.6*1000000+C31*'E Balans VL '!N19/100/3.6*1000000</f>
        <v>468.54993190502688</v>
      </c>
      <c r="G9" s="34"/>
      <c r="H9" s="33"/>
      <c r="I9" s="33"/>
      <c r="J9" s="40">
        <f>C31*'E Balans VL '!D19/100/3.6*1000000+C31*'E Balans VL '!E19/100/3.6*1000000</f>
        <v>0</v>
      </c>
      <c r="K9" s="33"/>
      <c r="L9" s="33"/>
      <c r="M9" s="33"/>
      <c r="N9" s="33">
        <f>C31*'E Balans VL '!Y19/100/3.6*1000000</f>
        <v>192.65909302088625</v>
      </c>
      <c r="O9" s="33"/>
      <c r="P9" s="33"/>
      <c r="R9" s="32"/>
    </row>
    <row r="10" spans="1:18">
      <c r="A10" s="6" t="s">
        <v>41</v>
      </c>
      <c r="B10" s="37">
        <f t="shared" si="0"/>
        <v>444.85207583353804</v>
      </c>
      <c r="C10" s="33"/>
      <c r="D10" s="37">
        <f>IF( ISERROR(IND_voed_gas_kWh/1000),0,IND_voed_gas_kWh/1000)*0.902</f>
        <v>30993.707690000003</v>
      </c>
      <c r="E10" s="33">
        <f>C32*'E Balans VL '!I20/100/3.6*1000000</f>
        <v>0.94109146393897869</v>
      </c>
      <c r="F10" s="33">
        <f>C32*'E Balans VL '!L20/100/3.6*1000000+C32*'E Balans VL '!N20/100/3.6*1000000</f>
        <v>28.284149384566646</v>
      </c>
      <c r="G10" s="34"/>
      <c r="H10" s="33"/>
      <c r="I10" s="33"/>
      <c r="J10" s="40">
        <f>C32*'E Balans VL '!D20/100/3.6*1000000+C32*'E Balans VL '!E20/100/3.6*1000000</f>
        <v>0</v>
      </c>
      <c r="K10" s="33"/>
      <c r="L10" s="33"/>
      <c r="M10" s="33"/>
      <c r="N10" s="33">
        <f>C32*'E Balans VL '!Y20/100/3.6*1000000</f>
        <v>30.699183140064005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2559.5544046690302</v>
      </c>
      <c r="C15" s="33"/>
      <c r="D15" s="37">
        <f>IF( ISERROR(IND_rest_gas_kWh/1000),0,IND_rest_gas_kWh/1000)*0.902</f>
        <v>144.668172</v>
      </c>
      <c r="E15" s="33">
        <f>C37*'E Balans VL '!I15/100/3.6*1000000</f>
        <v>141.32820566959995</v>
      </c>
      <c r="F15" s="33">
        <f>C37*'E Balans VL '!L15/100/3.6*1000000+C37*'E Balans VL '!N15/100/3.6*1000000</f>
        <v>506.97111879334108</v>
      </c>
      <c r="G15" s="34"/>
      <c r="H15" s="33"/>
      <c r="I15" s="33"/>
      <c r="J15" s="40">
        <f>C37*'E Balans VL '!D15/100/3.6*1000000+C37*'E Balans VL '!E15/100/3.6*1000000</f>
        <v>9.1631560971813233</v>
      </c>
      <c r="K15" s="33"/>
      <c r="L15" s="33"/>
      <c r="M15" s="33"/>
      <c r="N15" s="33">
        <f>C37*'E Balans VL '!Y15/100/3.6*1000000</f>
        <v>574.14822925053318</v>
      </c>
      <c r="O15" s="33"/>
      <c r="P15" s="33"/>
      <c r="R15" s="32"/>
    </row>
    <row r="16" spans="1:18">
      <c r="A16" s="16" t="s">
        <v>488</v>
      </c>
      <c r="B16" s="247">
        <f>'lokale energieproductie'!N89+'lokale energieproductie'!N58</f>
        <v>900</v>
      </c>
      <c r="C16" s="247">
        <f>'lokale energieproductie'!O89+'lokale energieproductie'!O58</f>
        <v>1285.7142857142858</v>
      </c>
      <c r="D16" s="310">
        <f>('lokale energieproductie'!P58+'lokale energieproductie'!P89)*(-1)</f>
        <v>-2571.4285714285716</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4592.8518402349837</v>
      </c>
      <c r="C18" s="21">
        <f>C5+C16</f>
        <v>1285.7142857142858</v>
      </c>
      <c r="D18" s="21">
        <f>MAX((D5+D16),0)</f>
        <v>30466.297349771427</v>
      </c>
      <c r="E18" s="21">
        <f>MAX((E5+E16),0)</f>
        <v>313.68402333491503</v>
      </c>
      <c r="F18" s="21">
        <f>MAX((F5+F16),0)</f>
        <v>1013.6848442102244</v>
      </c>
      <c r="G18" s="21"/>
      <c r="H18" s="21"/>
      <c r="I18" s="21"/>
      <c r="J18" s="21">
        <f>MAX((J5+J16),0)</f>
        <v>9.1631560971813233</v>
      </c>
      <c r="K18" s="21"/>
      <c r="L18" s="21">
        <f>MAX((L5+L16),0)</f>
        <v>0</v>
      </c>
      <c r="M18" s="21"/>
      <c r="N18" s="21">
        <f>MAX((N5+N16),0)</f>
        <v>799.00969833934846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0.20108410255937229</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923.54949048181322</v>
      </c>
      <c r="C22" s="23">
        <f ca="1">C18*C20</f>
        <v>305.54621848739504</v>
      </c>
      <c r="D22" s="23">
        <f>D18*D20</f>
        <v>6154.1920646538283</v>
      </c>
      <c r="E22" s="23">
        <f>E18*E20</f>
        <v>71.206273297025717</v>
      </c>
      <c r="F22" s="23">
        <f>F18*F20</f>
        <v>270.6538534041299</v>
      </c>
      <c r="G22" s="23"/>
      <c r="H22" s="23"/>
      <c r="I22" s="23"/>
      <c r="J22" s="23">
        <f>J18*J20</f>
        <v>3.2437572584021881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105.364094382517</v>
      </c>
      <c r="C30" s="39">
        <f>IF(ISERROR(B30*3.6/1000000/'E Balans VL '!Z18*100),0,B30*3.6/1000000/'E Balans VL '!Z18*100)</f>
        <v>5.9712533998657396E-3</v>
      </c>
      <c r="D30" s="237" t="s">
        <v>754</v>
      </c>
    </row>
    <row r="31" spans="1:18">
      <c r="A31" s="6" t="s">
        <v>33</v>
      </c>
      <c r="B31" s="37">
        <f>IF( ISERROR(IND_ander_ele_kWh/1000),0,IND_ander_ele_kWh/1000)</f>
        <v>583.08126534989799</v>
      </c>
      <c r="C31" s="39">
        <f>IF(ISERROR(B31*3.6/1000000/'E Balans VL '!Z19*100),0,B31*3.6/1000000/'E Balans VL '!Z19*100)</f>
        <v>2.6446138288139458E-2</v>
      </c>
      <c r="D31" s="237" t="s">
        <v>754</v>
      </c>
    </row>
    <row r="32" spans="1:18">
      <c r="A32" s="171" t="s">
        <v>41</v>
      </c>
      <c r="B32" s="37">
        <f>IF( ISERROR(IND_voed_ele_kWh/1000),0,IND_voed_ele_kWh/1000)</f>
        <v>444.85207583353804</v>
      </c>
      <c r="C32" s="39">
        <f>IF(ISERROR(B32*3.6/1000000/'E Balans VL '!Z20*100),0,B32*3.6/1000000/'E Balans VL '!Z20*100)</f>
        <v>1.3761294163441691E-2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2559.5544046690302</v>
      </c>
      <c r="C37" s="39">
        <f>IF(ISERROR(B37*3.6/1000000/'E Balans VL '!Z15*100),0,B37*3.6/1000000/'E Balans VL '!Z15*100)</f>
        <v>2.0287612088766491E-2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333.69201012764199</v>
      </c>
      <c r="C5" s="17">
        <f>'Eigen informatie GS &amp; warmtenet'!B60</f>
        <v>0</v>
      </c>
      <c r="D5" s="30">
        <f>IF(ISERROR(SUM(LB_lb_gas_kWh,LB_rest_gas_kWh,onbekend_gas_kWh)/1000),0,SUM(LB_lb_gas_kWh,LB_rest_gas_kWh,onbekend_gas_kWh)/1000)*0.902</f>
        <v>1450.8600546000002</v>
      </c>
      <c r="E5" s="17">
        <f>B17*'E Balans VL '!I25/3.6*1000000/100</f>
        <v>9.8082273906894262</v>
      </c>
      <c r="F5" s="17">
        <f>B17*('E Balans VL '!L25/3.6*1000000+'E Balans VL '!N25/3.6*1000000)/100</f>
        <v>1390.1428824219752</v>
      </c>
      <c r="G5" s="18"/>
      <c r="H5" s="17"/>
      <c r="I5" s="17"/>
      <c r="J5" s="17">
        <f>('E Balans VL '!D25+'E Balans VL '!E25)/3.6*1000000*landbouw!B17/100</f>
        <v>48.344806149548091</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333.69201012764199</v>
      </c>
      <c r="C8" s="21">
        <f>C5+C6</f>
        <v>0</v>
      </c>
      <c r="D8" s="21">
        <f>MAX((D5+D6),0)</f>
        <v>1450.8600546000002</v>
      </c>
      <c r="E8" s="21">
        <f>MAX((E5+E6),0)</f>
        <v>9.8082273906894262</v>
      </c>
      <c r="F8" s="21">
        <f>MAX((F5+F6),0)</f>
        <v>1390.1428824219752</v>
      </c>
      <c r="G8" s="21"/>
      <c r="H8" s="21"/>
      <c r="I8" s="21"/>
      <c r="J8" s="21">
        <f>MAX((J5+J6),0)</f>
        <v>48.344806149548091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0.20108410255937229</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67.100158387749858</v>
      </c>
      <c r="C12" s="23">
        <f ca="1">C8*C10</f>
        <v>0</v>
      </c>
      <c r="D12" s="23">
        <f>D8*D10</f>
        <v>293.07373102920008</v>
      </c>
      <c r="E12" s="23">
        <f>E8*E10</f>
        <v>2.2264676176864997</v>
      </c>
      <c r="F12" s="23">
        <f>F8*F10</f>
        <v>371.16814960666738</v>
      </c>
      <c r="G12" s="23"/>
      <c r="H12" s="23"/>
      <c r="I12" s="23"/>
      <c r="J12" s="23">
        <f>J8*J10</f>
        <v>17.114061376940022</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4.7351943163866171E-2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139.92861306287955</v>
      </c>
      <c r="C26" s="247">
        <f>B26*'GWP N2O_CH4'!B5</f>
        <v>2938.5008743204708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17.345522377522109</v>
      </c>
      <c r="C27" s="247">
        <f>B27*'GWP N2O_CH4'!B5</f>
        <v>364.25596992796426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1.8455171120808342</v>
      </c>
      <c r="C28" s="247">
        <f>B28*'GWP N2O_CH4'!B4</f>
        <v>572.11030474505867</v>
      </c>
      <c r="D28" s="50"/>
    </row>
    <row r="29" spans="1:4">
      <c r="A29" s="41" t="s">
        <v>277</v>
      </c>
      <c r="B29" s="247">
        <f>B34*'ha_N2O bodem landbouw'!B4</f>
        <v>7.3904384533433678</v>
      </c>
      <c r="C29" s="247">
        <f>B29*'GWP N2O_CH4'!B4</f>
        <v>2291.0359205364439</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1.6864725864690234E-3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1.6577413785531315E-4</v>
      </c>
      <c r="C5" s="463" t="s">
        <v>211</v>
      </c>
      <c r="D5" s="448">
        <f>SUM(D6:D11)</f>
        <v>5.600047992331983E-4</v>
      </c>
      <c r="E5" s="448">
        <f>SUM(E6:E11)</f>
        <v>8.5888280996286614E-4</v>
      </c>
      <c r="F5" s="461" t="s">
        <v>211</v>
      </c>
      <c r="G5" s="448">
        <f>SUM(G6:G11)</f>
        <v>0.38644187473053898</v>
      </c>
      <c r="H5" s="448">
        <f>SUM(H6:H11)</f>
        <v>6.4869808314471006E-2</v>
      </c>
      <c r="I5" s="463" t="s">
        <v>211</v>
      </c>
      <c r="J5" s="463" t="s">
        <v>211</v>
      </c>
      <c r="K5" s="463" t="s">
        <v>211</v>
      </c>
      <c r="L5" s="463" t="s">
        <v>211</v>
      </c>
      <c r="M5" s="448">
        <f>SUM(M6:M11)</f>
        <v>2.4503585893961337E-2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4.482939698244489E-5</v>
      </c>
      <c r="C6" s="449"/>
      <c r="D6" s="962">
        <f>vkm_2011_GW_PW*SUMIFS(TableVerdeelsleutelVkm[CNG],TableVerdeelsleutelVkm[Voertuigtype],"Lichte voertuigen")*SUMIFS(TableECFTransport[EnergieConsumptieFactor (PJ per km)],TableECFTransport[Index],CONCATENATE($A6,"_CNG_CNG"))</f>
        <v>1.3446246121386871E-4</v>
      </c>
      <c r="E6" s="962">
        <f>vkm_2011_GW_PW*SUMIFS(TableVerdeelsleutelVkm[LPG],TableVerdeelsleutelVkm[Voertuigtype],"Lichte voertuigen")*SUMIFS(TableECFTransport[EnergieConsumptieFactor (PJ per km)],TableECFTransport[Index],CONCATENATE($A6,"_LPG_LPG"))</f>
        <v>1.8369503659883192E-4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4.7495115753099774E-2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1.5290882826209839E-2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3.2287109118332305E-3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2.4581118395828865E-2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7.4905150286557064E-6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1.4364389374336469E-3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2.0986159869122178E-5</v>
      </c>
      <c r="C8" s="449"/>
      <c r="D8" s="451">
        <f>vkm_2011_NGW_PW*SUMIFS(TableVerdeelsleutelVkm[CNG],TableVerdeelsleutelVkm[Voertuigtype],"Lichte voertuigen")*SUMIFS(TableECFTransport[EnergieConsumptieFactor (PJ per km)],TableECFTransport[Index],CONCATENATE($A8,"_CNG_CNG"))</f>
        <v>1.1191946595135013E-4</v>
      </c>
      <c r="E8" s="451">
        <f>vkm_2011_NGW_PW*SUMIFS(TableVerdeelsleutelVkm[LPG],TableVerdeelsleutelVkm[Voertuigtype],"Lichte voertuigen")*SUMIFS(TableECFTransport[EnergieConsumptieFactor (PJ per km)],TableECFTransport[Index],CONCATENATE($A8,"_LPG_LPG"))</f>
        <v>1.416009599049E-4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3.4118060163235236E-2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1.2368172222287605E-2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2.3604037546047989E-3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2.8870337158217467E-3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8.2821358273420234E-7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1.6870713470232236E-4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9.9958581003746071E-5</v>
      </c>
      <c r="C10" s="449"/>
      <c r="D10" s="451">
        <f>vkm_2011_SW_PW*SUMIFS(TableVerdeelsleutelVkm[CNG],TableVerdeelsleutelVkm[Voertuigtype],"Lichte voertuigen")*SUMIFS(TableECFTransport[EnergieConsumptieFactor (PJ per km)],TableECFTransport[Index],CONCATENATE($A10,"_CNG_CNG"))</f>
        <v>3.1362287206797952E-4</v>
      </c>
      <c r="E10" s="451">
        <f>vkm_2011_SW_PW*SUMIFS(TableVerdeelsleutelVkm[LPG],TableVerdeelsleutelVkm[Voertuigtype],"Lichte voertuigen")*SUMIFS(TableECFTransport[EnergieConsumptieFactor (PJ per km)],TableECFTransport[Index],CONCATENATE($A10,"_LPG_LPG"))</f>
        <v>5.3358681345913421E-4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0.1229929694486863</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3.7151636649356751E-2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8.2884850172318964E-3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0.15436757725386707</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5.0797888005418576E-5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9.0208401381554389E-3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46.04837162647587</v>
      </c>
      <c r="C14" s="21"/>
      <c r="D14" s="21">
        <f t="shared" ref="D14:M14" si="0">((D5)*10^9/3600)+D12</f>
        <v>155.55688867588842</v>
      </c>
      <c r="E14" s="21">
        <f t="shared" si="0"/>
        <v>238.57855832301837</v>
      </c>
      <c r="F14" s="21"/>
      <c r="G14" s="21">
        <f t="shared" si="0"/>
        <v>107344.96520292749</v>
      </c>
      <c r="H14" s="21">
        <f t="shared" si="0"/>
        <v>18019.391198464167</v>
      </c>
      <c r="I14" s="21"/>
      <c r="J14" s="21"/>
      <c r="K14" s="21"/>
      <c r="L14" s="21"/>
      <c r="M14" s="21">
        <f t="shared" si="0"/>
        <v>6806.5516372114826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0.20108410255937229</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9.2595954828303633</v>
      </c>
      <c r="C18" s="23"/>
      <c r="D18" s="23">
        <f t="shared" ref="D18:M18" si="1">D14*D16</f>
        <v>31.422491512529461</v>
      </c>
      <c r="E18" s="23">
        <f t="shared" si="1"/>
        <v>54.15733273932517</v>
      </c>
      <c r="F18" s="23"/>
      <c r="G18" s="23">
        <f t="shared" si="1"/>
        <v>28661.10570918164</v>
      </c>
      <c r="H18" s="23">
        <f t="shared" si="1"/>
        <v>4486.8284084175775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5.6818490150524949E-3</v>
      </c>
      <c r="H50" s="321">
        <f t="shared" si="2"/>
        <v>0</v>
      </c>
      <c r="I50" s="321">
        <f t="shared" si="2"/>
        <v>0</v>
      </c>
      <c r="J50" s="321">
        <f t="shared" si="2"/>
        <v>0</v>
      </c>
      <c r="K50" s="321">
        <f t="shared" si="2"/>
        <v>0</v>
      </c>
      <c r="L50" s="321">
        <f t="shared" si="2"/>
        <v>0</v>
      </c>
      <c r="M50" s="321">
        <f t="shared" si="2"/>
        <v>3.2270394109849913E-4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5.6818490150524949E-3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3.2270394109849913E-4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1578.2913930701375</v>
      </c>
      <c r="H54" s="21">
        <f t="shared" si="3"/>
        <v>0</v>
      </c>
      <c r="I54" s="21">
        <f t="shared" si="3"/>
        <v>0</v>
      </c>
      <c r="J54" s="21">
        <f t="shared" si="3"/>
        <v>0</v>
      </c>
      <c r="K54" s="21">
        <f t="shared" si="3"/>
        <v>0</v>
      </c>
      <c r="L54" s="21">
        <f t="shared" si="3"/>
        <v>0</v>
      </c>
      <c r="M54" s="21">
        <f t="shared" si="3"/>
        <v>89.639983638471975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0.20108410255937229</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421.40380194972676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4275.9516718869581</v>
      </c>
      <c r="C6" s="1263"/>
      <c r="D6" s="1248"/>
      <c r="E6" s="1248"/>
      <c r="F6" s="1266"/>
      <c r="G6" s="1269"/>
      <c r="H6" s="1260"/>
      <c r="I6" s="1248"/>
      <c r="J6" s="1248"/>
      <c r="K6" s="1248"/>
      <c r="L6" s="1252"/>
      <c r="M6" s="575"/>
      <c r="N6" s="1226"/>
      <c r="O6" s="1227"/>
      <c r="Q6" s="573"/>
      <c r="R6" s="1214"/>
      <c r="S6" s="1214"/>
    </row>
    <row r="7" spans="1:19" s="563" customFormat="1">
      <c r="A7" s="576" t="s">
        <v>252</v>
      </c>
      <c r="B7" s="577">
        <f>N57</f>
        <v>900</v>
      </c>
      <c r="C7" s="578">
        <f>B100</f>
        <v>1058.8235294117646</v>
      </c>
      <c r="D7" s="579"/>
      <c r="E7" s="579">
        <f>E100</f>
        <v>0</v>
      </c>
      <c r="F7" s="580"/>
      <c r="G7" s="581"/>
      <c r="H7" s="579">
        <f>I100</f>
        <v>0</v>
      </c>
      <c r="I7" s="579">
        <f>G100+F100</f>
        <v>0</v>
      </c>
      <c r="J7" s="579">
        <f>H100+D100+C100</f>
        <v>0</v>
      </c>
      <c r="K7" s="579"/>
      <c r="L7" s="582"/>
      <c r="M7" s="583">
        <f>C7*$C$11+D7*$D$11+E7*$E$11+F7*$F$11+G7*$G$11+H7*$H$11+I7*$I$11+J7*$J$11</f>
        <v>213.88235294117646</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5175.9516718869581</v>
      </c>
      <c r="C9" s="594">
        <f t="shared" ref="C9:L9" si="0">SUM(C7:C8)</f>
        <v>1058.8235294117646</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213.88235294117646</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1285.7142857142858</v>
      </c>
      <c r="C16" s="610">
        <f>B101</f>
        <v>1512.6050420168069</v>
      </c>
      <c r="D16" s="611"/>
      <c r="E16" s="611">
        <f>E101</f>
        <v>0</v>
      </c>
      <c r="F16" s="612"/>
      <c r="G16" s="613"/>
      <c r="H16" s="610">
        <f>I101</f>
        <v>0</v>
      </c>
      <c r="I16" s="611">
        <f>G101+F101</f>
        <v>0</v>
      </c>
      <c r="J16" s="611">
        <f>H101+D101+C101</f>
        <v>0</v>
      </c>
      <c r="K16" s="611"/>
      <c r="L16" s="614"/>
      <c r="M16" s="615">
        <f>C16*$C$21+E16*$E$21+H16*$H$21+I16*$I$21+J16*$J$21+D16*$D$21+F16*$F$21+G16*$G$21+K16*$K$21+L16*$L$21</f>
        <v>305.54621848739504</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1285.7142857142858</v>
      </c>
      <c r="C19" s="593">
        <f>SUM(C16:C18)</f>
        <v>1512.6050420168069</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305.54621848739504</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11044</v>
      </c>
      <c r="C27" s="851">
        <v>2940</v>
      </c>
      <c r="D27" s="672" t="s">
        <v>844</v>
      </c>
      <c r="E27" s="671" t="s">
        <v>845</v>
      </c>
      <c r="F27" s="671" t="s">
        <v>846</v>
      </c>
      <c r="G27" s="671" t="s">
        <v>847</v>
      </c>
      <c r="H27" s="671" t="s">
        <v>848</v>
      </c>
      <c r="I27" s="671" t="s">
        <v>845</v>
      </c>
      <c r="J27" s="850">
        <v>41754</v>
      </c>
      <c r="K27" s="850">
        <v>41754</v>
      </c>
      <c r="L27" s="671" t="s">
        <v>849</v>
      </c>
      <c r="M27" s="671">
        <v>200</v>
      </c>
      <c r="N27" s="671">
        <v>900</v>
      </c>
      <c r="O27" s="671">
        <v>1285.7142857142858</v>
      </c>
      <c r="P27" s="671">
        <v>2571.4285714285716</v>
      </c>
      <c r="Q27" s="671">
        <v>0</v>
      </c>
      <c r="R27" s="671">
        <v>0</v>
      </c>
      <c r="S27" s="671">
        <v>0</v>
      </c>
      <c r="T27" s="671">
        <v>0</v>
      </c>
      <c r="U27" s="671">
        <v>0</v>
      </c>
      <c r="V27" s="671">
        <v>0</v>
      </c>
      <c r="W27" s="671">
        <v>0</v>
      </c>
      <c r="X27" s="671">
        <v>501</v>
      </c>
      <c r="Y27" s="671" t="s">
        <v>41</v>
      </c>
      <c r="Z27" s="673" t="s">
        <v>389</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200</v>
      </c>
      <c r="N57" s="629">
        <f>SUM(N27:N56)</f>
        <v>900</v>
      </c>
      <c r="O57" s="629">
        <f t="shared" ref="O57:W57" si="2">SUM(O27:O56)</f>
        <v>1285.7142857142858</v>
      </c>
      <c r="P57" s="629">
        <f t="shared" si="2"/>
        <v>2571.4285714285716</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200</v>
      </c>
      <c r="N58" s="629">
        <f t="shared" ref="N58:W58" si="3">SUMIF($Z$27:$Z$56,"industrie",N27:N56)</f>
        <v>900</v>
      </c>
      <c r="O58" s="629">
        <f t="shared" si="3"/>
        <v>1285.7142857142858</v>
      </c>
      <c r="P58" s="629">
        <f t="shared" si="3"/>
        <v>2571.4285714285716</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1058.8235294117646</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1512.6050420168069</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12222.367362227831</v>
      </c>
      <c r="D10" s="718">
        <f ca="1">tertiair!C16</f>
        <v>0</v>
      </c>
      <c r="E10" s="718">
        <f ca="1">tertiair!D16</f>
        <v>17350.961957362</v>
      </c>
      <c r="F10" s="718">
        <f>tertiair!E16</f>
        <v>199.76420547293247</v>
      </c>
      <c r="G10" s="718">
        <f ca="1">tertiair!F16</f>
        <v>1940.0794370374338</v>
      </c>
      <c r="H10" s="718">
        <f>tertiair!G16</f>
        <v>0</v>
      </c>
      <c r="I10" s="718">
        <f>tertiair!H16</f>
        <v>0</v>
      </c>
      <c r="J10" s="718">
        <f>tertiair!I16</f>
        <v>0</v>
      </c>
      <c r="K10" s="718">
        <f>tertiair!J16</f>
        <v>1.115271424181476E-2</v>
      </c>
      <c r="L10" s="718">
        <f>tertiair!K16</f>
        <v>0</v>
      </c>
      <c r="M10" s="718">
        <f ca="1">tertiair!L16</f>
        <v>0</v>
      </c>
      <c r="N10" s="718">
        <f>tertiair!M16</f>
        <v>0</v>
      </c>
      <c r="O10" s="718">
        <f ca="1">tertiair!N16</f>
        <v>455.43708191950731</v>
      </c>
      <c r="P10" s="718">
        <f>tertiair!O16</f>
        <v>0</v>
      </c>
      <c r="Q10" s="719">
        <f>tertiair!P16</f>
        <v>38.133333333333333</v>
      </c>
      <c r="R10" s="721">
        <f ca="1">SUM(C10:Q10)</f>
        <v>32206.754530067283</v>
      </c>
      <c r="S10" s="67"/>
    </row>
    <row r="11" spans="1:19" s="474" customFormat="1">
      <c r="A11" s="870" t="s">
        <v>225</v>
      </c>
      <c r="B11" s="875"/>
      <c r="C11" s="718">
        <f>huishoudens!B8</f>
        <v>29501.55355651999</v>
      </c>
      <c r="D11" s="718">
        <f>huishoudens!C8</f>
        <v>0</v>
      </c>
      <c r="E11" s="718">
        <f>huishoudens!D8</f>
        <v>90844.485439266253</v>
      </c>
      <c r="F11" s="718">
        <f>huishoudens!E8</f>
        <v>332.4644364668855</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8416.7255796691425</v>
      </c>
      <c r="P11" s="718">
        <f>huishoudens!O8</f>
        <v>195.41666666666669</v>
      </c>
      <c r="Q11" s="719">
        <f>huishoudens!P8</f>
        <v>438.5333333333333</v>
      </c>
      <c r="R11" s="721">
        <f>SUM(C11:Q11)</f>
        <v>129729.17901192229</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4592.8518402349837</v>
      </c>
      <c r="D13" s="718">
        <f>industrie!C18</f>
        <v>1285.7142857142858</v>
      </c>
      <c r="E13" s="718">
        <f>industrie!D18</f>
        <v>30466.297349771427</v>
      </c>
      <c r="F13" s="718">
        <f>industrie!E18</f>
        <v>313.68402333491503</v>
      </c>
      <c r="G13" s="718">
        <f>industrie!F18</f>
        <v>1013.6848442102244</v>
      </c>
      <c r="H13" s="718">
        <f>industrie!G18</f>
        <v>0</v>
      </c>
      <c r="I13" s="718">
        <f>industrie!H18</f>
        <v>0</v>
      </c>
      <c r="J13" s="718">
        <f>industrie!I18</f>
        <v>0</v>
      </c>
      <c r="K13" s="718">
        <f>industrie!J18</f>
        <v>9.1631560971813233</v>
      </c>
      <c r="L13" s="718">
        <f>industrie!K18</f>
        <v>0</v>
      </c>
      <c r="M13" s="718">
        <f>industrie!L18</f>
        <v>0</v>
      </c>
      <c r="N13" s="718">
        <f>industrie!M18</f>
        <v>0</v>
      </c>
      <c r="O13" s="718">
        <f>industrie!N18</f>
        <v>799.00969833934846</v>
      </c>
      <c r="P13" s="718">
        <f>industrie!O18</f>
        <v>0</v>
      </c>
      <c r="Q13" s="719">
        <f>industrie!P18</f>
        <v>0</v>
      </c>
      <c r="R13" s="721">
        <f>SUM(C13:Q13)</f>
        <v>38480.405197702363</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46316.772758982799</v>
      </c>
      <c r="D15" s="723">
        <f t="shared" ref="D15:Q15" ca="1" si="0">SUM(D9:D14)</f>
        <v>1285.7142857142858</v>
      </c>
      <c r="E15" s="723">
        <f t="shared" ca="1" si="0"/>
        <v>138661.74474639969</v>
      </c>
      <c r="F15" s="723">
        <f t="shared" si="0"/>
        <v>845.91266527473294</v>
      </c>
      <c r="G15" s="723">
        <f t="shared" ca="1" si="0"/>
        <v>2953.7642812476579</v>
      </c>
      <c r="H15" s="723">
        <f t="shared" si="0"/>
        <v>0</v>
      </c>
      <c r="I15" s="723">
        <f t="shared" si="0"/>
        <v>0</v>
      </c>
      <c r="J15" s="723">
        <f t="shared" si="0"/>
        <v>0</v>
      </c>
      <c r="K15" s="723">
        <f t="shared" si="0"/>
        <v>9.1743088114231384</v>
      </c>
      <c r="L15" s="723">
        <f t="shared" si="0"/>
        <v>0</v>
      </c>
      <c r="M15" s="723">
        <f t="shared" ca="1" si="0"/>
        <v>0</v>
      </c>
      <c r="N15" s="723">
        <f t="shared" si="0"/>
        <v>0</v>
      </c>
      <c r="O15" s="723">
        <f t="shared" ca="1" si="0"/>
        <v>9671.1723599279976</v>
      </c>
      <c r="P15" s="723">
        <f t="shared" si="0"/>
        <v>195.41666666666669</v>
      </c>
      <c r="Q15" s="724">
        <f t="shared" si="0"/>
        <v>476.66666666666663</v>
      </c>
      <c r="R15" s="725">
        <f ca="1">SUM(R9:R14)</f>
        <v>200416.33873969194</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1578.2913930701375</v>
      </c>
      <c r="I18" s="718">
        <f>transport!H54</f>
        <v>0</v>
      </c>
      <c r="J18" s="718">
        <f>transport!I54</f>
        <v>0</v>
      </c>
      <c r="K18" s="718">
        <f>transport!J54</f>
        <v>0</v>
      </c>
      <c r="L18" s="718">
        <f>transport!K54</f>
        <v>0</v>
      </c>
      <c r="M18" s="718">
        <f>transport!L54</f>
        <v>0</v>
      </c>
      <c r="N18" s="718">
        <f>transport!M54</f>
        <v>89.639983638471975</v>
      </c>
      <c r="O18" s="718">
        <f>transport!N54</f>
        <v>0</v>
      </c>
      <c r="P18" s="718">
        <f>transport!O54</f>
        <v>0</v>
      </c>
      <c r="Q18" s="719">
        <f>transport!P54</f>
        <v>0</v>
      </c>
      <c r="R18" s="721">
        <f>SUM(C18:Q18)</f>
        <v>1667.9313767086094</v>
      </c>
      <c r="S18" s="67"/>
    </row>
    <row r="19" spans="1:19" s="474" customFormat="1" ht="15" thickBot="1">
      <c r="A19" s="870" t="s">
        <v>307</v>
      </c>
      <c r="B19" s="875"/>
      <c r="C19" s="727">
        <f>transport!B14</f>
        <v>46.04837162647587</v>
      </c>
      <c r="D19" s="727">
        <f>transport!C14</f>
        <v>0</v>
      </c>
      <c r="E19" s="727">
        <f>transport!D14</f>
        <v>155.55688867588842</v>
      </c>
      <c r="F19" s="727">
        <f>transport!E14</f>
        <v>238.57855832301837</v>
      </c>
      <c r="G19" s="727">
        <f>transport!F14</f>
        <v>0</v>
      </c>
      <c r="H19" s="727">
        <f>transport!G14</f>
        <v>107344.96520292749</v>
      </c>
      <c r="I19" s="727">
        <f>transport!H14</f>
        <v>18019.391198464167</v>
      </c>
      <c r="J19" s="727">
        <f>transport!I14</f>
        <v>0</v>
      </c>
      <c r="K19" s="727">
        <f>transport!J14</f>
        <v>0</v>
      </c>
      <c r="L19" s="727">
        <f>transport!K14</f>
        <v>0</v>
      </c>
      <c r="M19" s="727">
        <f>transport!L14</f>
        <v>0</v>
      </c>
      <c r="N19" s="727">
        <f>transport!M14</f>
        <v>6806.5516372114826</v>
      </c>
      <c r="O19" s="727">
        <f>transport!N14</f>
        <v>0</v>
      </c>
      <c r="P19" s="727">
        <f>transport!O14</f>
        <v>0</v>
      </c>
      <c r="Q19" s="728">
        <f>transport!P14</f>
        <v>0</v>
      </c>
      <c r="R19" s="729">
        <f>SUM(C19:Q19)</f>
        <v>132611.09185722854</v>
      </c>
      <c r="S19" s="67"/>
    </row>
    <row r="20" spans="1:19" s="474" customFormat="1" ht="15.75" thickBot="1">
      <c r="A20" s="730" t="s">
        <v>230</v>
      </c>
      <c r="B20" s="878"/>
      <c r="C20" s="873">
        <f>SUM(C17:C19)</f>
        <v>46.04837162647587</v>
      </c>
      <c r="D20" s="731">
        <f t="shared" ref="D20:R20" si="1">SUM(D17:D19)</f>
        <v>0</v>
      </c>
      <c r="E20" s="731">
        <f t="shared" si="1"/>
        <v>155.55688867588842</v>
      </c>
      <c r="F20" s="731">
        <f t="shared" si="1"/>
        <v>238.57855832301837</v>
      </c>
      <c r="G20" s="731">
        <f t="shared" si="1"/>
        <v>0</v>
      </c>
      <c r="H20" s="731">
        <f t="shared" si="1"/>
        <v>108923.25659599762</v>
      </c>
      <c r="I20" s="731">
        <f t="shared" si="1"/>
        <v>18019.391198464167</v>
      </c>
      <c r="J20" s="731">
        <f t="shared" si="1"/>
        <v>0</v>
      </c>
      <c r="K20" s="731">
        <f t="shared" si="1"/>
        <v>0</v>
      </c>
      <c r="L20" s="731">
        <f t="shared" si="1"/>
        <v>0</v>
      </c>
      <c r="M20" s="731">
        <f t="shared" si="1"/>
        <v>0</v>
      </c>
      <c r="N20" s="731">
        <f t="shared" si="1"/>
        <v>6896.1916208499542</v>
      </c>
      <c r="O20" s="731">
        <f t="shared" si="1"/>
        <v>0</v>
      </c>
      <c r="P20" s="731">
        <f t="shared" si="1"/>
        <v>0</v>
      </c>
      <c r="Q20" s="732">
        <f t="shared" si="1"/>
        <v>0</v>
      </c>
      <c r="R20" s="733">
        <f t="shared" si="1"/>
        <v>134279.02323393716</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333.69201012764199</v>
      </c>
      <c r="D22" s="727">
        <f>+landbouw!C8</f>
        <v>0</v>
      </c>
      <c r="E22" s="727">
        <f>+landbouw!D8</f>
        <v>1450.8600546000002</v>
      </c>
      <c r="F22" s="727">
        <f>+landbouw!E8</f>
        <v>9.8082273906894262</v>
      </c>
      <c r="G22" s="727">
        <f>+landbouw!F8</f>
        <v>1390.1428824219752</v>
      </c>
      <c r="H22" s="727">
        <f>+landbouw!G8</f>
        <v>0</v>
      </c>
      <c r="I22" s="727">
        <f>+landbouw!H8</f>
        <v>0</v>
      </c>
      <c r="J22" s="727">
        <f>+landbouw!I8</f>
        <v>0</v>
      </c>
      <c r="K22" s="727">
        <f>+landbouw!J8</f>
        <v>48.344806149548091</v>
      </c>
      <c r="L22" s="727">
        <f>+landbouw!K8</f>
        <v>0</v>
      </c>
      <c r="M22" s="727">
        <f>+landbouw!L8</f>
        <v>0</v>
      </c>
      <c r="N22" s="727">
        <f>+landbouw!M8</f>
        <v>0</v>
      </c>
      <c r="O22" s="727">
        <f>+landbouw!N8</f>
        <v>0</v>
      </c>
      <c r="P22" s="727">
        <f>+landbouw!O8</f>
        <v>0</v>
      </c>
      <c r="Q22" s="728">
        <f>+landbouw!P8</f>
        <v>0</v>
      </c>
      <c r="R22" s="729">
        <f>SUM(C22:Q22)</f>
        <v>3232.8479806898549</v>
      </c>
      <c r="S22" s="67"/>
    </row>
    <row r="23" spans="1:19" s="474" customFormat="1" ht="17.25" thickTop="1" thickBot="1">
      <c r="A23" s="734" t="s">
        <v>116</v>
      </c>
      <c r="B23" s="864"/>
      <c r="C23" s="735">
        <f ca="1">C20+C15+C22</f>
        <v>46696.513140736919</v>
      </c>
      <c r="D23" s="735">
        <f t="shared" ref="D23:Q23" ca="1" si="2">D20+D15+D22</f>
        <v>1285.7142857142858</v>
      </c>
      <c r="E23" s="735">
        <f t="shared" ca="1" si="2"/>
        <v>140268.16168967559</v>
      </c>
      <c r="F23" s="735">
        <f t="shared" si="2"/>
        <v>1094.2994509884406</v>
      </c>
      <c r="G23" s="735">
        <f t="shared" ca="1" si="2"/>
        <v>4343.9071636696335</v>
      </c>
      <c r="H23" s="735">
        <f t="shared" si="2"/>
        <v>108923.25659599762</v>
      </c>
      <c r="I23" s="735">
        <f t="shared" si="2"/>
        <v>18019.391198464167</v>
      </c>
      <c r="J23" s="735">
        <f t="shared" si="2"/>
        <v>0</v>
      </c>
      <c r="K23" s="735">
        <f t="shared" si="2"/>
        <v>57.51911496097123</v>
      </c>
      <c r="L23" s="735">
        <f t="shared" si="2"/>
        <v>0</v>
      </c>
      <c r="M23" s="735">
        <f t="shared" ca="1" si="2"/>
        <v>0</v>
      </c>
      <c r="N23" s="735">
        <f t="shared" si="2"/>
        <v>6896.1916208499542</v>
      </c>
      <c r="O23" s="735">
        <f t="shared" ca="1" si="2"/>
        <v>9671.1723599279976</v>
      </c>
      <c r="P23" s="735">
        <f t="shared" si="2"/>
        <v>195.41666666666669</v>
      </c>
      <c r="Q23" s="736">
        <f t="shared" si="2"/>
        <v>476.66666666666663</v>
      </c>
      <c r="R23" s="737">
        <f ca="1">R20+R15+R22</f>
        <v>337928.20995431894</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2457.7237721845459</v>
      </c>
      <c r="D36" s="718">
        <f ca="1">tertiair!C20</f>
        <v>0</v>
      </c>
      <c r="E36" s="718">
        <f ca="1">tertiair!D20</f>
        <v>3504.8943153871242</v>
      </c>
      <c r="F36" s="718">
        <f>tertiair!E20</f>
        <v>45.346474642355673</v>
      </c>
      <c r="G36" s="718">
        <f ca="1">tertiair!F20</f>
        <v>518.00120968899489</v>
      </c>
      <c r="H36" s="718">
        <f>tertiair!G20</f>
        <v>0</v>
      </c>
      <c r="I36" s="718">
        <f>tertiair!H20</f>
        <v>0</v>
      </c>
      <c r="J36" s="718">
        <f>tertiair!I20</f>
        <v>0</v>
      </c>
      <c r="K36" s="718">
        <f>tertiair!J20</f>
        <v>3.9480608416024247E-3</v>
      </c>
      <c r="L36" s="718">
        <f>tertiair!K20</f>
        <v>0</v>
      </c>
      <c r="M36" s="718">
        <f ca="1">tertiair!L20</f>
        <v>0</v>
      </c>
      <c r="N36" s="718">
        <f>tertiair!M20</f>
        <v>0</v>
      </c>
      <c r="O36" s="718">
        <f ca="1">tertiair!N20</f>
        <v>0</v>
      </c>
      <c r="P36" s="718">
        <f>tertiair!O20</f>
        <v>0</v>
      </c>
      <c r="Q36" s="828">
        <f>tertiair!P20</f>
        <v>0</v>
      </c>
      <c r="R36" s="917">
        <f ca="1">SUM(C36:Q36)</f>
        <v>6525.9697199638631</v>
      </c>
    </row>
    <row r="37" spans="1:18">
      <c r="A37" s="885" t="s">
        <v>225</v>
      </c>
      <c r="B37" s="892"/>
      <c r="C37" s="718">
        <f ca="1">huishoudens!B12</f>
        <v>5932.2934210200801</v>
      </c>
      <c r="D37" s="718">
        <f ca="1">huishoudens!C12</f>
        <v>0</v>
      </c>
      <c r="E37" s="718">
        <f>huishoudens!D12</f>
        <v>18350.586058731784</v>
      </c>
      <c r="F37" s="718">
        <f>huishoudens!E12</f>
        <v>75.469427077983013</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24358.348906829848</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923.54949048181322</v>
      </c>
      <c r="D39" s="718">
        <f ca="1">industrie!C22</f>
        <v>305.54621848739504</v>
      </c>
      <c r="E39" s="718">
        <f>industrie!D22</f>
        <v>6154.1920646538283</v>
      </c>
      <c r="F39" s="718">
        <f>industrie!E22</f>
        <v>71.206273297025717</v>
      </c>
      <c r="G39" s="718">
        <f>industrie!F22</f>
        <v>270.6538534041299</v>
      </c>
      <c r="H39" s="718">
        <f>industrie!G22</f>
        <v>0</v>
      </c>
      <c r="I39" s="718">
        <f>industrie!H22</f>
        <v>0</v>
      </c>
      <c r="J39" s="718">
        <f>industrie!I22</f>
        <v>0</v>
      </c>
      <c r="K39" s="718">
        <f>industrie!J22</f>
        <v>3.2437572584021881</v>
      </c>
      <c r="L39" s="718">
        <f>industrie!K22</f>
        <v>0</v>
      </c>
      <c r="M39" s="718">
        <f>industrie!L22</f>
        <v>0</v>
      </c>
      <c r="N39" s="718">
        <f>industrie!M22</f>
        <v>0</v>
      </c>
      <c r="O39" s="718">
        <f>industrie!N22</f>
        <v>0</v>
      </c>
      <c r="P39" s="718">
        <f>industrie!O22</f>
        <v>0</v>
      </c>
      <c r="Q39" s="828">
        <f>industrie!P22</f>
        <v>0</v>
      </c>
      <c r="R39" s="918">
        <f ca="1">SUM(C39:Q39)</f>
        <v>7728.3916575825942</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9313.5666836864384</v>
      </c>
      <c r="D41" s="763">
        <f t="shared" ref="D41:R41" ca="1" si="4">SUM(D35:D40)</f>
        <v>305.54621848739504</v>
      </c>
      <c r="E41" s="763">
        <f t="shared" ca="1" si="4"/>
        <v>28009.672438772737</v>
      </c>
      <c r="F41" s="763">
        <f t="shared" si="4"/>
        <v>192.02217501736442</v>
      </c>
      <c r="G41" s="763">
        <f t="shared" ca="1" si="4"/>
        <v>788.6550630931248</v>
      </c>
      <c r="H41" s="763">
        <f t="shared" si="4"/>
        <v>0</v>
      </c>
      <c r="I41" s="763">
        <f t="shared" si="4"/>
        <v>0</v>
      </c>
      <c r="J41" s="763">
        <f t="shared" si="4"/>
        <v>0</v>
      </c>
      <c r="K41" s="763">
        <f t="shared" si="4"/>
        <v>3.2477053192437904</v>
      </c>
      <c r="L41" s="763">
        <f t="shared" si="4"/>
        <v>0</v>
      </c>
      <c r="M41" s="763">
        <f t="shared" ca="1" si="4"/>
        <v>0</v>
      </c>
      <c r="N41" s="763">
        <f t="shared" si="4"/>
        <v>0</v>
      </c>
      <c r="O41" s="763">
        <f t="shared" ca="1" si="4"/>
        <v>0</v>
      </c>
      <c r="P41" s="763">
        <f t="shared" si="4"/>
        <v>0</v>
      </c>
      <c r="Q41" s="764">
        <f t="shared" si="4"/>
        <v>0</v>
      </c>
      <c r="R41" s="765">
        <f t="shared" ca="1" si="4"/>
        <v>38612.710284376306</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421.40380194972676</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421.40380194972676</v>
      </c>
    </row>
    <row r="45" spans="1:18" ht="15" thickBot="1">
      <c r="A45" s="888" t="s">
        <v>307</v>
      </c>
      <c r="B45" s="898"/>
      <c r="C45" s="727">
        <f ca="1">transport!B18</f>
        <v>9.2595954828303633</v>
      </c>
      <c r="D45" s="727">
        <f>transport!C18</f>
        <v>0</v>
      </c>
      <c r="E45" s="727">
        <f>transport!D18</f>
        <v>31.422491512529461</v>
      </c>
      <c r="F45" s="727">
        <f>transport!E18</f>
        <v>54.15733273932517</v>
      </c>
      <c r="G45" s="727">
        <f>transport!F18</f>
        <v>0</v>
      </c>
      <c r="H45" s="727">
        <f>transport!G18</f>
        <v>28661.10570918164</v>
      </c>
      <c r="I45" s="727">
        <f>transport!H18</f>
        <v>4486.8284084175775</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33242.773537333902</v>
      </c>
    </row>
    <row r="46" spans="1:18" ht="15.75" thickBot="1">
      <c r="A46" s="886" t="s">
        <v>230</v>
      </c>
      <c r="B46" s="899"/>
      <c r="C46" s="763">
        <f t="shared" ref="C46:R46" ca="1" si="5">SUM(C43:C45)</f>
        <v>9.2595954828303633</v>
      </c>
      <c r="D46" s="763">
        <f t="shared" ca="1" si="5"/>
        <v>0</v>
      </c>
      <c r="E46" s="763">
        <f t="shared" si="5"/>
        <v>31.422491512529461</v>
      </c>
      <c r="F46" s="763">
        <f t="shared" si="5"/>
        <v>54.15733273932517</v>
      </c>
      <c r="G46" s="763">
        <f t="shared" si="5"/>
        <v>0</v>
      </c>
      <c r="H46" s="763">
        <f t="shared" si="5"/>
        <v>29082.509511131368</v>
      </c>
      <c r="I46" s="763">
        <f t="shared" si="5"/>
        <v>4486.8284084175775</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33664.177339283626</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67.100158387749858</v>
      </c>
      <c r="D48" s="718">
        <f ca="1">+landbouw!C12</f>
        <v>0</v>
      </c>
      <c r="E48" s="718">
        <f>+landbouw!D12</f>
        <v>293.07373102920008</v>
      </c>
      <c r="F48" s="718">
        <f>+landbouw!E12</f>
        <v>2.2264676176864997</v>
      </c>
      <c r="G48" s="718">
        <f>+landbouw!F12</f>
        <v>371.16814960666738</v>
      </c>
      <c r="H48" s="718">
        <f>+landbouw!G12</f>
        <v>0</v>
      </c>
      <c r="I48" s="718">
        <f>+landbouw!H12</f>
        <v>0</v>
      </c>
      <c r="J48" s="718">
        <f>+landbouw!I12</f>
        <v>0</v>
      </c>
      <c r="K48" s="718">
        <f>+landbouw!J12</f>
        <v>17.114061376940022</v>
      </c>
      <c r="L48" s="718">
        <f>+landbouw!K12</f>
        <v>0</v>
      </c>
      <c r="M48" s="718">
        <f>+landbouw!L12</f>
        <v>0</v>
      </c>
      <c r="N48" s="718">
        <f>+landbouw!M12</f>
        <v>0</v>
      </c>
      <c r="O48" s="718">
        <f>+landbouw!N12</f>
        <v>0</v>
      </c>
      <c r="P48" s="718">
        <f>+landbouw!O12</f>
        <v>0</v>
      </c>
      <c r="Q48" s="719">
        <f>+landbouw!P12</f>
        <v>0</v>
      </c>
      <c r="R48" s="761">
        <f ca="1">SUM(C48:Q48)</f>
        <v>750.68256801824396</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9389.9264375570183</v>
      </c>
      <c r="D53" s="773">
        <f t="shared" ref="D53:Q53" ca="1" si="6">D41+D46+D48</f>
        <v>305.54621848739504</v>
      </c>
      <c r="E53" s="773">
        <f t="shared" ca="1" si="6"/>
        <v>28334.168661314467</v>
      </c>
      <c r="F53" s="773">
        <f t="shared" si="6"/>
        <v>248.40597537437608</v>
      </c>
      <c r="G53" s="773">
        <f t="shared" ca="1" si="6"/>
        <v>1159.8232126997923</v>
      </c>
      <c r="H53" s="773">
        <f t="shared" si="6"/>
        <v>29082.509511131368</v>
      </c>
      <c r="I53" s="773">
        <f t="shared" si="6"/>
        <v>4486.8284084175775</v>
      </c>
      <c r="J53" s="773">
        <f t="shared" si="6"/>
        <v>0</v>
      </c>
      <c r="K53" s="773">
        <f t="shared" si="6"/>
        <v>20.361766696183814</v>
      </c>
      <c r="L53" s="773">
        <f t="shared" si="6"/>
        <v>0</v>
      </c>
      <c r="M53" s="773">
        <f t="shared" ca="1" si="6"/>
        <v>0</v>
      </c>
      <c r="N53" s="773">
        <f t="shared" si="6"/>
        <v>0</v>
      </c>
      <c r="O53" s="773">
        <f t="shared" ca="1" si="6"/>
        <v>0</v>
      </c>
      <c r="P53" s="773">
        <f>P41+P46+P48</f>
        <v>0</v>
      </c>
      <c r="Q53" s="774">
        <f t="shared" si="6"/>
        <v>0</v>
      </c>
      <c r="R53" s="775">
        <f ca="1">R41+R46+R48</f>
        <v>73027.570191678169</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0.20108410255937229</v>
      </c>
      <c r="D55" s="836">
        <f t="shared" ca="1" si="7"/>
        <v>0.23764705882352946</v>
      </c>
      <c r="E55" s="836">
        <f t="shared" ca="1" si="7"/>
        <v>0.20199999999999999</v>
      </c>
      <c r="F55" s="836">
        <f t="shared" si="7"/>
        <v>0.22700000000000006</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4275.9516718869581</v>
      </c>
      <c r="C66" s="795">
        <f>'lokale energieproductie'!B6</f>
        <v>4275.9516718869581</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900</v>
      </c>
      <c r="C67" s="794">
        <f>B67*IFERROR(SUM(J67:L67)/SUM(D67:M67),0)</f>
        <v>0</v>
      </c>
      <c r="D67" s="826">
        <f>'lokale energieproductie'!C7</f>
        <v>1058.8235294117646</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213.88235294117646</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5175.9516718869581</v>
      </c>
      <c r="C69" s="803">
        <f>SUM(C64:C68)</f>
        <v>4275.9516718869581</v>
      </c>
      <c r="D69" s="804">
        <f t="shared" ref="D69:M69" si="8">SUM(D67:D68)</f>
        <v>1058.8235294117646</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213.88235294117646</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1285.7142857142858</v>
      </c>
      <c r="C78" s="817">
        <f>B78*IFERROR(SUM(I78:L78)/SUM(D78:M78),0)</f>
        <v>0</v>
      </c>
      <c r="D78" s="832">
        <f>'lokale energieproductie'!C16</f>
        <v>1512.6050420168069</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305.54621848739504</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1285.7142857142858</v>
      </c>
      <c r="C81" s="803">
        <f>SUM(C78:C80)</f>
        <v>0</v>
      </c>
      <c r="D81" s="803">
        <f t="shared" ref="D81:P81" si="9">SUM(D78:D80)</f>
        <v>1512.6050420168069</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305.54621848739504</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29501.55355651999</v>
      </c>
      <c r="C4" s="478">
        <f>huishoudens!C8</f>
        <v>0</v>
      </c>
      <c r="D4" s="478">
        <f>huishoudens!D8</f>
        <v>90844.485439266253</v>
      </c>
      <c r="E4" s="478">
        <f>huishoudens!E8</f>
        <v>332.4644364668855</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8416.7255796691425</v>
      </c>
      <c r="O4" s="478">
        <f>huishoudens!O8</f>
        <v>195.41666666666669</v>
      </c>
      <c r="P4" s="479">
        <f>huishoudens!P8</f>
        <v>438.5333333333333</v>
      </c>
      <c r="Q4" s="480">
        <f>SUM(B4:P4)</f>
        <v>129729.17901192229</v>
      </c>
    </row>
    <row r="5" spans="1:17">
      <c r="A5" s="477" t="s">
        <v>156</v>
      </c>
      <c r="B5" s="478">
        <f ca="1">tertiair!B16</f>
        <v>11350.764362227832</v>
      </c>
      <c r="C5" s="478">
        <f ca="1">tertiair!C16</f>
        <v>0</v>
      </c>
      <c r="D5" s="478">
        <f ca="1">tertiair!D16</f>
        <v>17350.961957362</v>
      </c>
      <c r="E5" s="478">
        <f>tertiair!E16</f>
        <v>199.76420547293247</v>
      </c>
      <c r="F5" s="478">
        <f ca="1">tertiair!F16</f>
        <v>1940.0794370374338</v>
      </c>
      <c r="G5" s="478">
        <f>tertiair!G16</f>
        <v>0</v>
      </c>
      <c r="H5" s="478">
        <f>tertiair!H16</f>
        <v>0</v>
      </c>
      <c r="I5" s="478">
        <f>tertiair!I16</f>
        <v>0</v>
      </c>
      <c r="J5" s="478">
        <f>tertiair!J16</f>
        <v>1.115271424181476E-2</v>
      </c>
      <c r="K5" s="478">
        <f>tertiair!K16</f>
        <v>0</v>
      </c>
      <c r="L5" s="478">
        <f ca="1">tertiair!L16</f>
        <v>0</v>
      </c>
      <c r="M5" s="478">
        <f>tertiair!M16</f>
        <v>0</v>
      </c>
      <c r="N5" s="478">
        <f ca="1">tertiair!N16</f>
        <v>455.43708191950731</v>
      </c>
      <c r="O5" s="478">
        <f>tertiair!O16</f>
        <v>0</v>
      </c>
      <c r="P5" s="479">
        <f>tertiair!P16</f>
        <v>38.133333333333333</v>
      </c>
      <c r="Q5" s="477">
        <f t="shared" ref="Q5:Q13" ca="1" si="0">SUM(B5:P5)</f>
        <v>31335.151530067287</v>
      </c>
    </row>
    <row r="6" spans="1:17">
      <c r="A6" s="477" t="s">
        <v>194</v>
      </c>
      <c r="B6" s="478">
        <f>'openbare verlichting'!B8</f>
        <v>871.60299999999995</v>
      </c>
      <c r="C6" s="478"/>
      <c r="D6" s="478"/>
      <c r="E6" s="478"/>
      <c r="F6" s="478"/>
      <c r="G6" s="478"/>
      <c r="H6" s="478"/>
      <c r="I6" s="478"/>
      <c r="J6" s="478"/>
      <c r="K6" s="478"/>
      <c r="L6" s="478"/>
      <c r="M6" s="478"/>
      <c r="N6" s="478"/>
      <c r="O6" s="478"/>
      <c r="P6" s="479"/>
      <c r="Q6" s="477">
        <f t="shared" si="0"/>
        <v>871.60299999999995</v>
      </c>
    </row>
    <row r="7" spans="1:17">
      <c r="A7" s="477" t="s">
        <v>112</v>
      </c>
      <c r="B7" s="478">
        <f>landbouw!B8</f>
        <v>333.69201012764199</v>
      </c>
      <c r="C7" s="478">
        <f>landbouw!C8</f>
        <v>0</v>
      </c>
      <c r="D7" s="478">
        <f>landbouw!D8</f>
        <v>1450.8600546000002</v>
      </c>
      <c r="E7" s="478">
        <f>landbouw!E8</f>
        <v>9.8082273906894262</v>
      </c>
      <c r="F7" s="478">
        <f>landbouw!F8</f>
        <v>1390.1428824219752</v>
      </c>
      <c r="G7" s="478">
        <f>landbouw!G8</f>
        <v>0</v>
      </c>
      <c r="H7" s="478">
        <f>landbouw!H8</f>
        <v>0</v>
      </c>
      <c r="I7" s="478">
        <f>landbouw!I8</f>
        <v>0</v>
      </c>
      <c r="J7" s="478">
        <f>landbouw!J8</f>
        <v>48.344806149548091</v>
      </c>
      <c r="K7" s="478">
        <f>landbouw!K8</f>
        <v>0</v>
      </c>
      <c r="L7" s="478">
        <f>landbouw!L8</f>
        <v>0</v>
      </c>
      <c r="M7" s="478">
        <f>landbouw!M8</f>
        <v>0</v>
      </c>
      <c r="N7" s="478">
        <f>landbouw!N8</f>
        <v>0</v>
      </c>
      <c r="O7" s="478">
        <f>landbouw!O8</f>
        <v>0</v>
      </c>
      <c r="P7" s="479">
        <f>landbouw!P8</f>
        <v>0</v>
      </c>
      <c r="Q7" s="477">
        <f t="shared" si="0"/>
        <v>3232.8479806898549</v>
      </c>
    </row>
    <row r="8" spans="1:17">
      <c r="A8" s="477" t="s">
        <v>635</v>
      </c>
      <c r="B8" s="478">
        <f>industrie!B18</f>
        <v>4592.8518402349837</v>
      </c>
      <c r="C8" s="478">
        <f>industrie!C18</f>
        <v>1285.7142857142858</v>
      </c>
      <c r="D8" s="478">
        <f>industrie!D18</f>
        <v>30466.297349771427</v>
      </c>
      <c r="E8" s="478">
        <f>industrie!E18</f>
        <v>313.68402333491503</v>
      </c>
      <c r="F8" s="478">
        <f>industrie!F18</f>
        <v>1013.6848442102244</v>
      </c>
      <c r="G8" s="478">
        <f>industrie!G18</f>
        <v>0</v>
      </c>
      <c r="H8" s="478">
        <f>industrie!H18</f>
        <v>0</v>
      </c>
      <c r="I8" s="478">
        <f>industrie!I18</f>
        <v>0</v>
      </c>
      <c r="J8" s="478">
        <f>industrie!J18</f>
        <v>9.1631560971813233</v>
      </c>
      <c r="K8" s="478">
        <f>industrie!K18</f>
        <v>0</v>
      </c>
      <c r="L8" s="478">
        <f>industrie!L18</f>
        <v>0</v>
      </c>
      <c r="M8" s="478">
        <f>industrie!M18</f>
        <v>0</v>
      </c>
      <c r="N8" s="478">
        <f>industrie!N18</f>
        <v>799.00969833934846</v>
      </c>
      <c r="O8" s="478">
        <f>industrie!O18</f>
        <v>0</v>
      </c>
      <c r="P8" s="479">
        <f>industrie!P18</f>
        <v>0</v>
      </c>
      <c r="Q8" s="477">
        <f t="shared" si="0"/>
        <v>38480.405197702363</v>
      </c>
    </row>
    <row r="9" spans="1:17" s="483" customFormat="1">
      <c r="A9" s="481" t="s">
        <v>561</v>
      </c>
      <c r="B9" s="482">
        <f>transport!B14</f>
        <v>46.04837162647587</v>
      </c>
      <c r="C9" s="482"/>
      <c r="D9" s="482">
        <f>transport!D14</f>
        <v>155.55688867588842</v>
      </c>
      <c r="E9" s="482">
        <f>transport!E14</f>
        <v>238.57855832301837</v>
      </c>
      <c r="F9" s="482"/>
      <c r="G9" s="482">
        <f>transport!G14</f>
        <v>107344.96520292749</v>
      </c>
      <c r="H9" s="482">
        <f>transport!H14</f>
        <v>18019.391198464167</v>
      </c>
      <c r="I9" s="482"/>
      <c r="J9" s="482"/>
      <c r="K9" s="482"/>
      <c r="L9" s="482"/>
      <c r="M9" s="482">
        <f>transport!M14</f>
        <v>6806.5516372114826</v>
      </c>
      <c r="N9" s="482"/>
      <c r="O9" s="482"/>
      <c r="P9" s="482"/>
      <c r="Q9" s="481">
        <f>SUM(B9:P9)</f>
        <v>132611.09185722854</v>
      </c>
    </row>
    <row r="10" spans="1:17">
      <c r="A10" s="477" t="s">
        <v>551</v>
      </c>
      <c r="B10" s="478">
        <f>transport!B54</f>
        <v>0</v>
      </c>
      <c r="C10" s="478"/>
      <c r="D10" s="478">
        <f>transport!D54</f>
        <v>0</v>
      </c>
      <c r="E10" s="478"/>
      <c r="F10" s="478"/>
      <c r="G10" s="478">
        <f>transport!G54</f>
        <v>1578.2913930701375</v>
      </c>
      <c r="H10" s="478"/>
      <c r="I10" s="478"/>
      <c r="J10" s="478"/>
      <c r="K10" s="478"/>
      <c r="L10" s="478"/>
      <c r="M10" s="478">
        <f>transport!M54</f>
        <v>89.639983638471975</v>
      </c>
      <c r="N10" s="478"/>
      <c r="O10" s="478"/>
      <c r="P10" s="479"/>
      <c r="Q10" s="477">
        <f t="shared" si="0"/>
        <v>1667.9313767086094</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46696.513140736926</v>
      </c>
      <c r="C14" s="488">
        <f t="shared" ref="C14:Q14" ca="1" si="1">SUM(C4:C13)</f>
        <v>1285.7142857142858</v>
      </c>
      <c r="D14" s="488">
        <f t="shared" ca="1" si="1"/>
        <v>140268.16168967559</v>
      </c>
      <c r="E14" s="488">
        <f t="shared" si="1"/>
        <v>1094.2994509884409</v>
      </c>
      <c r="F14" s="488">
        <f t="shared" ca="1" si="1"/>
        <v>4343.9071636696335</v>
      </c>
      <c r="G14" s="488">
        <f t="shared" si="1"/>
        <v>108923.25659599762</v>
      </c>
      <c r="H14" s="488">
        <f t="shared" si="1"/>
        <v>18019.391198464167</v>
      </c>
      <c r="I14" s="488">
        <f t="shared" si="1"/>
        <v>0</v>
      </c>
      <c r="J14" s="488">
        <f t="shared" si="1"/>
        <v>57.51911496097123</v>
      </c>
      <c r="K14" s="488">
        <f t="shared" si="1"/>
        <v>0</v>
      </c>
      <c r="L14" s="488">
        <f t="shared" ca="1" si="1"/>
        <v>0</v>
      </c>
      <c r="M14" s="488">
        <f t="shared" si="1"/>
        <v>6896.1916208499542</v>
      </c>
      <c r="N14" s="488">
        <f t="shared" ca="1" si="1"/>
        <v>9671.1723599279976</v>
      </c>
      <c r="O14" s="488">
        <f t="shared" si="1"/>
        <v>195.41666666666669</v>
      </c>
      <c r="P14" s="489">
        <f t="shared" si="1"/>
        <v>476.66666666666663</v>
      </c>
      <c r="Q14" s="489">
        <f t="shared" ca="1" si="1"/>
        <v>337928.20995431894</v>
      </c>
    </row>
    <row r="16" spans="1:17">
      <c r="A16" s="491" t="s">
        <v>556</v>
      </c>
      <c r="B16" s="841">
        <f ca="1">huishoudens!B10</f>
        <v>0.20108410255937229</v>
      </c>
      <c r="C16" s="841">
        <f ca="1">huishoudens!C10</f>
        <v>0.23764705882352946</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5932.2934210200801</v>
      </c>
      <c r="C21" s="478">
        <f t="shared" ref="C21:C28" ca="1" si="3">C4*$C$16</f>
        <v>0</v>
      </c>
      <c r="D21" s="478">
        <f t="shared" ref="D21:D30" si="4">D4*$D$16</f>
        <v>18350.586058731784</v>
      </c>
      <c r="E21" s="478">
        <f t="shared" ref="E21:E30" si="5">E4*$E$16</f>
        <v>75.469427077983013</v>
      </c>
      <c r="F21" s="478">
        <f t="shared" ref="F21:F28" si="6">F4*$F$16</f>
        <v>0</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24358.348906829848</v>
      </c>
    </row>
    <row r="22" spans="1:17">
      <c r="A22" s="477" t="s">
        <v>156</v>
      </c>
      <c r="B22" s="478">
        <f t="shared" ca="1" si="2"/>
        <v>2282.4582651414894</v>
      </c>
      <c r="C22" s="478">
        <f t="shared" ca="1" si="3"/>
        <v>0</v>
      </c>
      <c r="D22" s="478">
        <f t="shared" ca="1" si="4"/>
        <v>3504.8943153871242</v>
      </c>
      <c r="E22" s="478">
        <f t="shared" si="5"/>
        <v>45.346474642355673</v>
      </c>
      <c r="F22" s="478">
        <f t="shared" ca="1" si="6"/>
        <v>518.00120968899489</v>
      </c>
      <c r="G22" s="478">
        <f t="shared" si="7"/>
        <v>0</v>
      </c>
      <c r="H22" s="478">
        <f t="shared" si="8"/>
        <v>0</v>
      </c>
      <c r="I22" s="478">
        <f t="shared" si="9"/>
        <v>0</v>
      </c>
      <c r="J22" s="478">
        <f t="shared" si="10"/>
        <v>3.9480608416024247E-3</v>
      </c>
      <c r="K22" s="478">
        <f t="shared" si="11"/>
        <v>0</v>
      </c>
      <c r="L22" s="478">
        <f t="shared" ca="1" si="12"/>
        <v>0</v>
      </c>
      <c r="M22" s="478">
        <f t="shared" si="13"/>
        <v>0</v>
      </c>
      <c r="N22" s="478">
        <f t="shared" ca="1" si="14"/>
        <v>0</v>
      </c>
      <c r="O22" s="478">
        <f t="shared" si="15"/>
        <v>0</v>
      </c>
      <c r="P22" s="479">
        <f t="shared" si="16"/>
        <v>0</v>
      </c>
      <c r="Q22" s="477">
        <f t="shared" ref="Q22:Q30" ca="1" si="17">SUM(B22:P22)</f>
        <v>6350.7042129208066</v>
      </c>
    </row>
    <row r="23" spans="1:17">
      <c r="A23" s="477" t="s">
        <v>194</v>
      </c>
      <c r="B23" s="478">
        <f t="shared" ca="1" si="2"/>
        <v>175.26550704305654</v>
      </c>
      <c r="C23" s="478"/>
      <c r="D23" s="478"/>
      <c r="E23" s="478"/>
      <c r="F23" s="478"/>
      <c r="G23" s="478"/>
      <c r="H23" s="478"/>
      <c r="I23" s="478"/>
      <c r="J23" s="478"/>
      <c r="K23" s="478"/>
      <c r="L23" s="478"/>
      <c r="M23" s="478"/>
      <c r="N23" s="478"/>
      <c r="O23" s="478"/>
      <c r="P23" s="479"/>
      <c r="Q23" s="477">
        <f t="shared" ca="1" si="17"/>
        <v>175.26550704305654</v>
      </c>
    </row>
    <row r="24" spans="1:17">
      <c r="A24" s="477" t="s">
        <v>112</v>
      </c>
      <c r="B24" s="478">
        <f t="shared" ca="1" si="2"/>
        <v>67.100158387749858</v>
      </c>
      <c r="C24" s="478">
        <f t="shared" ca="1" si="3"/>
        <v>0</v>
      </c>
      <c r="D24" s="478">
        <f t="shared" si="4"/>
        <v>293.07373102920008</v>
      </c>
      <c r="E24" s="478">
        <f t="shared" si="5"/>
        <v>2.2264676176864997</v>
      </c>
      <c r="F24" s="478">
        <f t="shared" si="6"/>
        <v>371.16814960666738</v>
      </c>
      <c r="G24" s="478">
        <f t="shared" si="7"/>
        <v>0</v>
      </c>
      <c r="H24" s="478">
        <f t="shared" si="8"/>
        <v>0</v>
      </c>
      <c r="I24" s="478">
        <f t="shared" si="9"/>
        <v>0</v>
      </c>
      <c r="J24" s="478">
        <f t="shared" si="10"/>
        <v>17.114061376940022</v>
      </c>
      <c r="K24" s="478">
        <f t="shared" si="11"/>
        <v>0</v>
      </c>
      <c r="L24" s="478">
        <f t="shared" si="12"/>
        <v>0</v>
      </c>
      <c r="M24" s="478">
        <f t="shared" si="13"/>
        <v>0</v>
      </c>
      <c r="N24" s="478">
        <f t="shared" si="14"/>
        <v>0</v>
      </c>
      <c r="O24" s="478">
        <f t="shared" si="15"/>
        <v>0</v>
      </c>
      <c r="P24" s="479">
        <f t="shared" si="16"/>
        <v>0</v>
      </c>
      <c r="Q24" s="477">
        <f t="shared" ca="1" si="17"/>
        <v>750.68256801824396</v>
      </c>
    </row>
    <row r="25" spans="1:17">
      <c r="A25" s="477" t="s">
        <v>635</v>
      </c>
      <c r="B25" s="478">
        <f t="shared" ca="1" si="2"/>
        <v>923.54949048181322</v>
      </c>
      <c r="C25" s="478">
        <f t="shared" ca="1" si="3"/>
        <v>305.54621848739504</v>
      </c>
      <c r="D25" s="478">
        <f t="shared" si="4"/>
        <v>6154.1920646538283</v>
      </c>
      <c r="E25" s="478">
        <f t="shared" si="5"/>
        <v>71.206273297025717</v>
      </c>
      <c r="F25" s="478">
        <f t="shared" si="6"/>
        <v>270.6538534041299</v>
      </c>
      <c r="G25" s="478">
        <f t="shared" si="7"/>
        <v>0</v>
      </c>
      <c r="H25" s="478">
        <f t="shared" si="8"/>
        <v>0</v>
      </c>
      <c r="I25" s="478">
        <f t="shared" si="9"/>
        <v>0</v>
      </c>
      <c r="J25" s="478">
        <f t="shared" si="10"/>
        <v>3.2437572584021881</v>
      </c>
      <c r="K25" s="478">
        <f t="shared" si="11"/>
        <v>0</v>
      </c>
      <c r="L25" s="478">
        <f t="shared" si="12"/>
        <v>0</v>
      </c>
      <c r="M25" s="478">
        <f t="shared" si="13"/>
        <v>0</v>
      </c>
      <c r="N25" s="478">
        <f t="shared" si="14"/>
        <v>0</v>
      </c>
      <c r="O25" s="478">
        <f t="shared" si="15"/>
        <v>0</v>
      </c>
      <c r="P25" s="479">
        <f t="shared" si="16"/>
        <v>0</v>
      </c>
      <c r="Q25" s="477">
        <f t="shared" ca="1" si="17"/>
        <v>7728.3916575825942</v>
      </c>
    </row>
    <row r="26" spans="1:17" s="483" customFormat="1">
      <c r="A26" s="481" t="s">
        <v>561</v>
      </c>
      <c r="B26" s="835">
        <f t="shared" ca="1" si="2"/>
        <v>9.2595954828303633</v>
      </c>
      <c r="C26" s="482"/>
      <c r="D26" s="482">
        <f t="shared" si="4"/>
        <v>31.422491512529461</v>
      </c>
      <c r="E26" s="482">
        <f t="shared" si="5"/>
        <v>54.15733273932517</v>
      </c>
      <c r="F26" s="482"/>
      <c r="G26" s="482">
        <f t="shared" si="7"/>
        <v>28661.10570918164</v>
      </c>
      <c r="H26" s="482">
        <f t="shared" si="8"/>
        <v>4486.8284084175775</v>
      </c>
      <c r="I26" s="482"/>
      <c r="J26" s="482"/>
      <c r="K26" s="482"/>
      <c r="L26" s="482"/>
      <c r="M26" s="482">
        <f t="shared" si="13"/>
        <v>0</v>
      </c>
      <c r="N26" s="482"/>
      <c r="O26" s="482"/>
      <c r="P26" s="493"/>
      <c r="Q26" s="481">
        <f t="shared" ca="1" si="17"/>
        <v>33242.773537333902</v>
      </c>
    </row>
    <row r="27" spans="1:17">
      <c r="A27" s="477" t="s">
        <v>551</v>
      </c>
      <c r="B27" s="478">
        <f t="shared" ca="1" si="2"/>
        <v>0</v>
      </c>
      <c r="C27" s="478"/>
      <c r="D27" s="482">
        <f t="shared" si="4"/>
        <v>0</v>
      </c>
      <c r="E27" s="478"/>
      <c r="F27" s="478"/>
      <c r="G27" s="478">
        <f t="shared" si="7"/>
        <v>421.40380194972676</v>
      </c>
      <c r="H27" s="478"/>
      <c r="I27" s="478"/>
      <c r="J27" s="478"/>
      <c r="K27" s="478"/>
      <c r="L27" s="478"/>
      <c r="M27" s="478">
        <f t="shared" si="13"/>
        <v>0</v>
      </c>
      <c r="N27" s="478"/>
      <c r="O27" s="478"/>
      <c r="P27" s="479"/>
      <c r="Q27" s="477">
        <f t="shared" ca="1" si="17"/>
        <v>421.40380194972676</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9389.9264375570201</v>
      </c>
      <c r="C31" s="488">
        <f t="shared" ca="1" si="18"/>
        <v>305.54621848739504</v>
      </c>
      <c r="D31" s="488">
        <f t="shared" ca="1" si="18"/>
        <v>28334.168661314467</v>
      </c>
      <c r="E31" s="488">
        <f t="shared" si="18"/>
        <v>248.40597537437606</v>
      </c>
      <c r="F31" s="488">
        <f t="shared" ca="1" si="18"/>
        <v>1159.8232126997923</v>
      </c>
      <c r="G31" s="488">
        <f t="shared" si="18"/>
        <v>29082.509511131368</v>
      </c>
      <c r="H31" s="488">
        <f t="shared" si="18"/>
        <v>4486.8284084175775</v>
      </c>
      <c r="I31" s="488">
        <f t="shared" si="18"/>
        <v>0</v>
      </c>
      <c r="J31" s="488">
        <f t="shared" si="18"/>
        <v>20.36176669618381</v>
      </c>
      <c r="K31" s="488">
        <f t="shared" si="18"/>
        <v>0</v>
      </c>
      <c r="L31" s="488">
        <f t="shared" ca="1" si="18"/>
        <v>0</v>
      </c>
      <c r="M31" s="488">
        <f t="shared" si="18"/>
        <v>0</v>
      </c>
      <c r="N31" s="488">
        <f t="shared" ca="1" si="18"/>
        <v>0</v>
      </c>
      <c r="O31" s="488">
        <f t="shared" si="18"/>
        <v>0</v>
      </c>
      <c r="P31" s="489">
        <f t="shared" si="18"/>
        <v>0</v>
      </c>
      <c r="Q31" s="489">
        <f t="shared" ca="1" si="18"/>
        <v>73027.570191678184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0.20108410255937229</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1.5633333333333335</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1</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19.066666666666666</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0.20108410255937229</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0.20108410255937229</v>
      </c>
      <c r="C29" s="529">
        <f ca="1">'EF ele_warmte'!B22</f>
        <v>0.23764705882352946</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2019-01-01T21:17:09Z</dcterms:modified>
</cp:coreProperties>
</file>