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B8" i="9"/>
  <c r="B6" i="48" s="1"/>
  <c r="Q6" s="1"/>
  <c r="D6" i="17"/>
  <c r="I8" i="18"/>
  <c r="J68" i="14" s="1"/>
  <c r="C16" i="15"/>
  <c r="D10" i="14" s="1"/>
  <c r="J15" i="16"/>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L22" i="16"/>
  <c r="M39" i="14" s="1"/>
  <c r="E28" i="48"/>
  <c r="I20" i="15"/>
  <c r="J36" i="14"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H18" i="14" l="1"/>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B22" i="6"/>
  <c r="C17" i="19" s="1"/>
  <c r="C19" s="1"/>
  <c r="D35" i="14" s="1"/>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29" i="20"/>
  <c r="C17" i="49"/>
  <c r="C56" i="22"/>
  <c r="C58" s="1"/>
  <c r="D44" i="14" s="1"/>
  <c r="D46" s="1"/>
  <c r="Q4" i="48"/>
  <c r="N22"/>
  <c r="R11" i="14"/>
  <c r="J21" i="48"/>
  <c r="R10" i="14"/>
  <c r="C18" i="15" l="1"/>
  <c r="C20" s="1"/>
  <c r="D36" i="14" s="1"/>
  <c r="Q5" i="48"/>
  <c r="C20" i="16"/>
  <c r="C22" s="1"/>
  <c r="D39" i="14" s="1"/>
  <c r="C16"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<sst xmlns="http://schemas.openxmlformats.org/spreadsheetml/2006/main" count="2133" uniqueCount="860">
  <si>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</si>
  <si>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</si>
  <si>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</si>
  <si>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</si>
  <si>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</si>
  <si>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</si>
  <si>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</si>
  <si>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</si>
  <si>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</si>
  <si>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</si>
  <si>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</si>
  <si>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</si>
  <si>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</si>
  <si>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</si>
  <si>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</si>
  <si>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</si>
  <si>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</si>
  <si>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</si>
  <si>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</si>
  <si>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</si>
  <si>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</si>
  <si>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</si>
  <si>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</si>
  <si>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</si>
  <si>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</si>
  <si>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</si>
  <si>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</si>
  <si>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</si>
  <si>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</si>
  <si>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</si>
  <si>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</si>
  <si>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</si>
  <si>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</si>
  <si>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</si>
  <si>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</si>
  <si>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</si>
  <si>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</si>
  <si>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</si>
  <si>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</si>
  <si>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</si>
  <si>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</si>
  <si>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</si>
  <si>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</si>
  <si>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</si>
  <si>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</si>
  <si>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</si>
  <si>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</si>
  <si>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</si>
  <si>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</si>
  <si>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</si>
  <si>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</si>
  <si>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</si>
  <si>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</si>
  <si>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</si>
  <si>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</si>
  <si>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</si>
  <si>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</si>
  <si>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</si>
  <si>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</si>
  <si>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</si>
  <si>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</si>
  <si>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</si>
  <si>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</si>
  <si>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</si>
  <si>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</si>
  <si>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</si>
  <si>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</si>
  <si>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</si>
  <si>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</si>
  <si>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</si>
  <si>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</si>
  <si>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</si>
  <si>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</si>
  <si>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</si>
  <si>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</si>
  <si>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</si>
  <si>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</si>
  <si>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</si>
  <si>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</si>
  <si>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</si>
  <si>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</si>
  <si>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</si>
  <si>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</si>
  <si>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</si>
  <si>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</si>
  <si>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</si>
  <si>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</si>
  <si>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</si>
  <si>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</si>
  <si>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</si>
  <si>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</si>
  <si>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</si>
  <si>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</si>
  <si>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</si>
  <si>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</si>
  <si>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</si>
  <si>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</si>
  <si>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</si>
  <si>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</si>
  <si>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</si>
  <si>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</si>
  <si>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</si>
  <si>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</si>
  <si>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</si>
  <si>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</si>
  <si>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</si>
  <si>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</si>
  <si>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</si>
  <si>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</si>
  <si>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</si>
  <si>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</si>
  <si>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</si>
  <si>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</si>
  <si>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</si>
  <si>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</si>
  <si>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</si>
  <si>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</si>
  <si>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</si>
  <si>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</si>
  <si>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</si>
  <si>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</si>
  <si>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</si>
  <si>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</si>
  <si>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</si>
  <si>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</si>
  <si>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</si>
  <si>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</si>
  <si>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</si>
  <si>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</si>
  <si>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</si>
  <si>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</si>
  <si>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</si>
  <si>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</si>
  <si>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</si>
  <si>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</si>
  <si>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</si>
  <si>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</si>
  <si>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</si>
  <si>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</si>
  <si>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</si>
  <si>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</si>
  <si>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</si>
  <si>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</si>
  <si>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</si>
  <si>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</si>
  <si>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</si>
  <si>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</si>
  <si>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</si>
  <si>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</si>
  <si>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</si>
  <si>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</si>
  <si>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</si>
  <si>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</si>
  <si>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</si>
  <si>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</si>
  <si>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</si>
  <si>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</si>
  <si>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</si>
  <si>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</si>
  <si>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</si>
  <si>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</si>
  <si>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</si>
  <si>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</si>
  <si>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</si>
  <si>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</si>
  <si>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</si>
  <si>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</si>
  <si>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</si>
  <si>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</si>
  <si>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</si>
  <si>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</si>
  <si>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</si>
  <si>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</si>
  <si>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</si>
  <si>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</si>
  <si>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</si>
  <si>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</si>
  <si>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</si>
  <si>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</si>
  <si>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</si>
  <si>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</si>
  <si>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</si>
  <si>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</si>
  <si>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</si>
  <si>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</si>
  <si>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</si>
  <si>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</si>
  <si>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</si>
  <si>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</si>
  <si>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</si>
  <si>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</si>
  <si>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</si>
  <si>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</si>
  <si>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</si>
  <si>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</si>
  <si>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</si>
  <si>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</si>
  <si>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</si>
  <si>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</si>
  <si>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</si>
  <si>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</si>
  <si>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</si>
  <si>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</si>
  <si>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</si>
  <si>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</si>
  <si>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</si>
  <si>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</si>
  <si>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</si>
  <si>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</si>
  <si>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</si>
  <si>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</si>
  <si>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</si>
  <si>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</si>
  <si>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</si>
  <si>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</si>
  <si>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</si>
  <si>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</si>
  <si>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</si>
  <si>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</si>
  <si>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</si>
  <si>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</si>
  <si>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</si>
  <si>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</si>
  <si>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</si>
  <si>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</si>
  <si>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</si>
  <si>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</si>
  <si>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</si>
  <si>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</si>
  <si>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</si>
  <si>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</si>
  <si>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</si>
  <si>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</si>
  <si>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</si>
  <si>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</si>
  <si>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</si>
  <si>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</si>
  <si>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</si>
  <si>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</si>
  <si>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</si>
  <si>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</si>
  <si>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</si>
  <si>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</si>
  <si>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</si>
  <si>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</si>
  <si>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</si>
  <si>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</si>
  <si>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</si>
  <si>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</si>
  <si>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</si>
  <si>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</si>
  <si>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</si>
  <si>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</si>
  <si>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</si>
  <si>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</si>
  <si>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</si>
  <si>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</si>
  <si>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</si>
  <si>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</si>
  <si>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</si>
  <si>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</si>
  <si>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</si>
  <si>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</si>
  <si>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</si>
  <si>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</si>
  <si>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</si>
  <si>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</si>
  <si>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</si>
  <si>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</si>
  <si>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</si>
  <si>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</si>
  <si>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</si>
  <si>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</si>
  <si>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</si>
  <si>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</si>
  <si>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</si>
  <si>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</si>
  <si>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</si>
  <si>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</si>
  <si>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</si>
  <si>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</si>
  <si>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</si>
  <si>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</si>
  <si>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</si>
  <si>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</si>
  <si>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</si>
  <si>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</si>
  <si>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</si>
  <si>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</si>
  <si>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</si>
  <si>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</si>
  <si>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</si>
  <si>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</si>
  <si>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</si>
  <si>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</si>
  <si>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</si>
  <si>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</si>
  <si>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</si>
  <si>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</si>
  <si>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</si>
  <si>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</si>
  <si>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</si>
  <si>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</si>
  <si>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</si>
  <si>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</si>
  <si>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</si>
  <si>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</si>
  <si>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</si>
  <si>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</si>
  <si>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</si>
  <si>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</si>
  <si>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</si>
  <si>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</si>
  <si>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</si>
  <si>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</si>
  <si>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</si>
  <si>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</si>
  <si>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</si>
  <si>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</si>
  <si>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</si>
  <si>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</si>
  <si>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</si>
  <si>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</si>
  <si>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</si>
  <si>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</si>
  <si>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</si>
  <si>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</si>
  <si>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</si>
  <si>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</si>
  <si>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</si>
  <si>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</si>
  <si>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</si>
  <si>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</si>
  <si>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</si>
  <si>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</si>
  <si>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</si>
  <si>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</si>
  <si>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</si>
  <si>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</si>
  <si>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</si>
  <si>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</si>
  <si>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</si>
  <si>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</si>
  <si>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</si>
  <si>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</si>
  <si>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</si>
  <si>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</si>
  <si>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</si>
  <si>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</si>
  <si>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</si>
  <si>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</si>
  <si>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</si>
  <si>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</si>
  <si>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</si>
  <si>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</si>
  <si>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</si>
  <si>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</si>
  <si>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</si>
  <si>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</si>
  <si>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</si>
  <si>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</si>
  <si>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</si>
  <si>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</si>
  <si>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</si>
  <si>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</si>
  <si>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</si>
  <si>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</si>
  <si>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</si>
  <si>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</si>
  <si>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</si>
  <si>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</si>
  <si>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</si>
  <si>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</si>
  <si>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</si>
  <si>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</si>
  <si>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</si>
  <si>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</si>
  <si>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</si>
  <si>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</si>
  <si>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</si>
  <si>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</si>
  <si>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</si>
  <si>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</si>
  <si>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</si>
  <si>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</si>
  <si>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</si>
  <si>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</si>
  <si>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</si>
  <si>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</si>
  <si>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</si>
  <si>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</si>
  <si>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</si>
  <si>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</si>
  <si>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</si>
  <si>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</si>
  <si>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</si>
  <si>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</si>
  <si>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</si>
  <si>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</si>
  <si>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</si>
  <si>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</si>
  <si>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</si>
  <si>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</si>
  <si>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</si>
  <si>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</si>
  <si>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</si>
  <si>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</si>
  <si>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</si>
  <si>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</si>
  <si>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</si>
  <si>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</si>
  <si>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</si>
  <si>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</si>
  <si>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</si>
  <si>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</si>
  <si>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</si>
  <si>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</si>
  <si>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</si>
  <si>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</si>
  <si>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</si>
  <si>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</si>
  <si>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</si>
  <si>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</si>
  <si>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</si>
  <si>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</si>
  <si>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</si>
  <si>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</si>
  <si>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</si>
  <si>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</si>
  <si>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</si>
  <si>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</si>
  <si>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</si>
  <si>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</si>
  <si>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</si>
  <si>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</si>
  <si>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</si>
  <si>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</si>
  <si>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</si>
  <si>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</si>
  <si>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</si>
  <si>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</si>
  <si>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</si>
  <si>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</si>
  <si>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</si>
  <si>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</si>
  <si>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</si>
  <si>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</si>
  <si>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</si>
  <si>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</si>
  <si>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</si>
  <si>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</si>
  <si>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</si>
  <si>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</si>
  <si>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</si>
  <si>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</si>
  <si>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</si>
  <si>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</si>
  <si>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</si>
  <si>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</si>
  <si>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</si>
  <si>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</si>
  <si>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</si>
  <si>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</si>
  <si>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</si>
  <si>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</si>
  <si>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</si>
  <si>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</si>
  <si>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</si>
  <si>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</si>
  <si>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</si>
  <si>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</si>
  <si>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</si>
  <si>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</si>
  <si>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</si>
  <si>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</si>
  <si>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</si>
  <si>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</si>
  <si>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</si>
  <si>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</si>
  <si>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</si>
  <si>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</si>
  <si>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</si>
  <si>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</si>
  <si>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</si>
  <si>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</si>
  <si>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</si>
  <si>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</si>
  <si>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</si>
  <si>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</si>
  <si>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</si>
  <si>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</si>
  <si>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</si>
  <si>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</si>
  <si>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</si>
  <si>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</si>
  <si>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</si>
  <si>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</si>
  <si>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</si>
  <si>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</si>
  <si>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</si>
  <si>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</si>
  <si>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</si>
  <si>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</si>
  <si>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</si>
  <si>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</si>
  <si>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</si>
  <si>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</si>
  <si>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</si>
  <si>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</si>
  <si>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</si>
  <si>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</si>
  <si>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</si>
  <si>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</si>
  <si>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</si>
  <si>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</si>
  <si>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</si>
  <si>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</si>
  <si>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</si>
  <si>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</si>
  <si>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</si>
  <si>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</si>
  <si>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</si>
  <si>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</si>
  <si>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</si>
  <si>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</si>
  <si>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</si>
  <si>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</si>
  <si>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</si>
  <si>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</si>
  <si>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</si>
  <si>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</si>
  <si>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</si>
  <si>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</si>
  <si>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</si>
  <si>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</si>
  <si>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</si>
  <si>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</si>
  <si>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</si>
  <si>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</si>
  <si>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</si>
  <si>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</si>
  <si>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</si>
  <si>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</si>
  <si>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</si>
  <si>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</si>
  <si>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</si>
  <si>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</si>
  <si>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</si>
  <si>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</si>
  <si>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</si>
  <si>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</si>
  <si>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</si>
  <si>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</si>
  <si>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</si>
  <si>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</si>
  <si>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</si>
  <si>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</si>
  <si>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</si>
  <si>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</si>
  <si>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</si>
  <si>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</si>
  <si>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</si>
  <si>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</si>
  <si>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</si>
  <si>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</si>
  <si>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</si>
  <si>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</si>
  <si>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</si>
  <si>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</si>
  <si>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</si>
  <si>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</si>
  <si>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</si>
  <si>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</si>
  <si>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</si>
  <si>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</si>
  <si>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</si>
  <si>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</si>
  <si>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</si>
  <si>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</si>
  <si>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</si>
  <si>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</si>
  <si>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</si>
  <si>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</si>
  <si>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</si>
  <si>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</si>
  <si>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</si>
  <si>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</si>
  <si>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</si>
  <si>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</si>
  <si>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</si>
  <si>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</si>
  <si>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</si>
  <si>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</si>
  <si>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</si>
  <si>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</si>
  <si>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</si>
  <si>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</si>
  <si>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</si>
  <si>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</si>
  <si>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</si>
  <si>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</si>
  <si>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</si>
  <si>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</si>
  <si>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</si>
  <si>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</si>
  <si>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</si>
  <si>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</si>
  <si>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</si>
  <si>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</si>
  <si>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</si>
  <si>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</si>
  <si>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</si>
  <si>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</si>
  <si>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</si>
  <si>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</si>
  <si>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</si>
  <si>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</si>
  <si>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</si>
  <si>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</si>
  <si>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</si>
  <si>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</si>
  <si>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</si>
  <si>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</si>
  <si>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</si>
  <si>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</si>
  <si>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</si>
  <si>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</si>
  <si>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</si>
  <si>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</si>
  <si>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</si>
  <si>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</si>
  <si>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</si>
  <si>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</si>
  <si>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</si>
  <si>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</si>
  <si>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</si>
  <si>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</si>
  <si>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</si>
  <si>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</si>
  <si>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</si>
  <si>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</si>
  <si>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</si>
  <si>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</si>
  <si>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</si>
  <si>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</si>
  <si>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</si>
  <si>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</si>
  <si>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</si>
  <si>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</si>
  <si>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</si>
  <si>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</si>
  <si>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</si>
  <si>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</si>
  <si>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</si>
  <si>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</si>
  <si>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</si>
  <si>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</si>
  <si>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</si>
  <si>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</si>
  <si>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</si>
  <si>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</si>
  <si>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</si>
  <si>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</si>
  <si>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</si>
  <si>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</si>
  <si>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</si>
  <si>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</si>
  <si>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</si>
  <si>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</si>
  <si>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</si>
  <si>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</si>
  <si>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</si>
  <si>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</si>
  <si>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</si>
  <si>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</si>
  <si>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</si>
  <si>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</si>
  <si>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</si>
  <si>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</si>
  <si>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</si>
  <si>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</si>
  <si>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</si>
  <si>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</si>
  <si>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</si>
  <si>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</si>
  <si>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</si>
  <si>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</si>
  <si>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</si>
  <si>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</si>
  <si>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</si>
  <si>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</si>
  <si>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</si>
  <si>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</si>
  <si>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</si>
  <si>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</si>
  <si>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</si>
  <si>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</si>
  <si>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</si>
  <si>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</si>
  <si>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</si>
  <si>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</si>
  <si>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</si>
  <si>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</si>
  <si>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</si>
  <si>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</si>
  <si>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</si>
  <si>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</si>
  <si>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</si>
  <si>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</si>
  <si>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</si>
  <si>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</si>
  <si>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</si>
  <si>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</si>
  <si>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</si>
  <si>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</si>
  <si>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</si>
  <si>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</si>
  <si>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</si>
  <si>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</si>
  <si>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</si>
  <si>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</si>
  <si>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</si>
  <si>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</si>
  <si>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</si>
  <si>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</si>
  <si>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</si>
  <si>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</si>
  <si>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</si>
  <si>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</si>
  <si>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</si>
  <si>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</si>
  <si>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</si>
  <si>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</si>
  <si>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</si>
  <si>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</si>
  <si>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</si>
  <si>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</si>
  <si>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</si>
  <si>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</si>
  <si>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</si>
  <si>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</si>
  <si>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</si>
  <si>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</si>
  <si>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</si>
  <si>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</si>
  <si>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</si>
  <si>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</si>
  <si>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</si>
  <si>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</si>
  <si>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</si>
  <si>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</si>
  <si>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</si>
  <si>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</si>
  <si>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</si>
  <si>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</si>
  <si>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</si>
  <si>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</si>
  <si>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</si>
  <si>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</si>
  <si>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</si>
  <si>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</si>
  <si>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</si>
  <si>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</si>
  <si>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</si>
  <si>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</si>
  <si>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</si>
  <si>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</si>
  <si>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</si>
  <si>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</si>
  <si>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</si>
  <si>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</si>
  <si>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</si>
  <si>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</si>
  <si>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</si>
  <si>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</si>
  <si>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</si>
  <si>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</si>
  <si>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</si>
  <si>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</si>
  <si>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</si>
  <si>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</si>
  <si>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</si>
  <si>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</si>
  <si>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</si>
  <si>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</si>
  <si>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</si>
  <si>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</si>
  <si>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</si>
  <si>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</si>
  <si>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</si>
  <si>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</si>
  <si>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</si>
  <si>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</si>
  <si>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</si>
  <si>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</si>
  <si>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</si>
  <si>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</si>
  <si>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</si>
  <si>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</si>
  <si>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</si>
  <si>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</si>
  <si>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</si>
  <si>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</si>
  <si>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</si>
  <si>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</si>
  <si>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</si>
  <si>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</si>
  <si>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</si>
  <si>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</si>
  <si>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</si>
  <si>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</si>
  <si>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</si>
  <si>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</si>
  <si>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</si>
  <si>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</si>
  <si>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</si>
  <si>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</si>
  <si>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</si>
  <si>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</si>
  <si>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</si>
  <si>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</si>
  <si>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</si>
  <si>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</si>
  <si>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</si>
  <si>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</si>
  <si>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</si>
  <si>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</si>
  <si>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</si>
  <si>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</si>
  <si>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</si>
  <si>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</si>
  <si>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</si>
  <si>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</si>
  <si>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</si>
  <si>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</si>
  <si>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</si>
  <si>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11024</t>
  </si>
  <si>
    <t>KONTICH</t>
  </si>
  <si>
    <t>Eandis (januari 2018); Infrax (juni 2018)</t>
  </si>
  <si>
    <t>MOW (september 2017)</t>
  </si>
  <si>
    <t>referentietaak LNE (2017); Jaarverslag De Lijn (2016)</t>
  </si>
  <si>
    <t>VEA (april 2018)</t>
  </si>
  <si>
    <t>VEA (januari 2017)</t>
  </si>
  <si>
    <t>VEA (juni 2018)</t>
  </si>
  <si>
    <t>Eric Van Den Eynde</t>
  </si>
  <si>
    <t>Pierstraat 350, 2550 Kontich</t>
  </si>
  <si>
    <t>WKK-0096 Eric Van Den Eynde</t>
  </si>
  <si>
    <t>interne verbrandingsmotor</t>
  </si>
  <si>
    <t>WKK interne verbrandinsgmotor (gas)</t>
  </si>
  <si>
    <t>IVEKA</t>
  </si>
  <si>
    <t>Groeikracht De Boskapel NV</t>
  </si>
  <si>
    <t>Lerenveld 1C, 2550 Kontich</t>
  </si>
  <si>
    <t>WKK-0138 Groeikracht De Boskapel</t>
  </si>
  <si>
    <t>Boskapelweg 1, 2550 Kontich</t>
  </si>
  <si>
    <t>Bloemenkwekerij Scheers bvba</t>
  </si>
  <si>
    <t>Keizershoek 225, 2550 Kontich</t>
  </si>
  <si>
    <t>WKK-0130 Bloemen Scheers</t>
  </si>
  <si>
    <t>WKK-0660 Vercruysse - Feyt</t>
  </si>
  <si>
    <t>brandstofcel</t>
  </si>
  <si>
    <t>Keizerenberg 14 , 2550 Waarloos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</si>
</sst>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152998.03666460732</c:v>
                </c:pt>
                <c:pt idx="1">
                  <c:v>105240.7951168424</c:v>
                </c:pt>
                <c:pt idx="2">
                  <c:v>1403.39</c:v>
                </c:pt>
                <c:pt idx="3">
                  <c:v>59603.54162605312</c:v>
                </c:pt>
                <c:pt idx="4">
                  <c:v>37344.425206023087</c:v>
                </c:pt>
                <c:pt idx="5">
                  <c:v>414315.84235578735</c:v>
                </c:pt>
                <c:pt idx="6">
                  <c:v>2010.800398633238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848320"/>
        <c:axId val="183850112"/>
      </c:barChart>
      <c:catAx>
        <c:axId val="183848320"/>
        <c:scaling>
          <c:orientation val="minMax"/>
        </c:scaling>
        <c:axPos val="b"/>
        <c:numFmt formatCode="General" sourceLinked="0"/>
        <c:tickLblPos val="nextTo"/>
        <c:crossAx val="183850112"/>
        <c:crosses val="autoZero"/>
        <c:auto val="1"/>
        <c:lblAlgn val="ctr"/>
        <c:lblOffset val="100"/>
      </c:catAx>
      <c:valAx>
        <c:axId val="183850112"/>
        <c:scaling>
          <c:orientation val="minMax"/>
        </c:scaling>
        <c:axPos val="l"/>
        <c:majorGridlines>
          <c:spPr>
            <a:ln>
              <a:noFill/>
            </a:ln>
          </c:spPr>
        </c:majorGridlines>
        <c:numFmt formatCode="#,##0" sourceLinked="1"/>
        <c:tickLblPos val="nextTo"/>
        <c:crossAx val="1838483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152998.03666460732</c:v>
                </c:pt>
                <c:pt idx="1">
                  <c:v>105240.7951168424</c:v>
                </c:pt>
                <c:pt idx="2">
                  <c:v>1403.39</c:v>
                </c:pt>
                <c:pt idx="3">
                  <c:v>59603.54162605312</c:v>
                </c:pt>
                <c:pt idx="4">
                  <c:v>37344.425206023087</c:v>
                </c:pt>
                <c:pt idx="5">
                  <c:v>414315.84235578735</c:v>
                </c:pt>
                <c:pt idx="6">
                  <c:v>2010.800398633238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29080.906919567369</c:v>
                </c:pt>
                <c:pt idx="1">
                  <c:v>22422.067619219688</c:v>
                </c:pt>
                <c:pt idx="2">
                  <c:v>294.71198668168785</c:v>
                </c:pt>
                <c:pt idx="3">
                  <c:v>14503.914999803013</c:v>
                </c:pt>
                <c:pt idx="4">
                  <c:v>6635.1831024134635</c:v>
                </c:pt>
                <c:pt idx="5">
                  <c:v>103830.97543236194</c:v>
                </c:pt>
                <c:pt idx="6">
                  <c:v>508.02985349325178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330112"/>
        <c:axId val="184331648"/>
      </c:barChart>
      <c:catAx>
        <c:axId val="184330112"/>
        <c:scaling>
          <c:orientation val="minMax"/>
        </c:scaling>
        <c:axPos val="b"/>
        <c:numFmt formatCode="General" sourceLinked="0"/>
        <c:tickLblPos val="nextTo"/>
        <c:crossAx val="184331648"/>
        <c:crosses val="autoZero"/>
        <c:auto val="1"/>
        <c:lblAlgn val="ctr"/>
        <c:lblOffset val="100"/>
      </c:catAx>
      <c:valAx>
        <c:axId val="184331648"/>
        <c:scaling>
          <c:orientation val="minMax"/>
        </c:scaling>
        <c:axPos val="l"/>
        <c:majorGridlines>
          <c:spPr>
            <a:ln>
              <a:noFill/>
            </a:ln>
          </c:spPr>
        </c:majorGridlines>
        <c:numFmt formatCode="#,##0" sourceLinked="1"/>
        <c:tickLblPos val="nextTo"/>
        <c:crossAx val="18433011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29080.906919567369</c:v>
                </c:pt>
                <c:pt idx="1">
                  <c:v>22422.067619219688</c:v>
                </c:pt>
                <c:pt idx="2">
                  <c:v>294.71198668168785</c:v>
                </c:pt>
                <c:pt idx="3">
                  <c:v>14503.914999803013</c:v>
                </c:pt>
                <c:pt idx="4">
                  <c:v>6635.1831024134635</c:v>
                </c:pt>
                <c:pt idx="5">
                  <c:v>103830.97543236194</c:v>
                </c:pt>
                <c:pt idx="6">
                  <c:v>508.02985349325178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11024</v>
      </c>
      <c r="B6" s="415"/>
      <c r="C6" s="416"/>
    </row>
    <row r="7" spans="1:7" s="413" customFormat="1" ht="15.75" customHeight="1">
      <c r="A7" s="417" t="str">
        <f>txtMunicipality</f>
        <v>KONTICH</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8566</v>
      </c>
      <c r="C9" s="342">
        <v>8491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923.54</v>
      </c>
    </row>
    <row r="15" spans="1:6">
      <c r="A15" s="348" t="s">
        <v>184</v>
      </c>
      <c r="B15" s="334">
        <v>383</v>
      </c>
    </row>
    <row r="16" spans="1:6">
      <c r="A16" s="348" t="s">
        <v>6</v>
      </c>
      <c r="B16" s="334">
        <v>873</v>
      </c>
    </row>
    <row r="17" spans="1:6">
      <c r="A17" s="348" t="s">
        <v>7</v>
      </c>
      <c r="B17" s="334">
        <v>61</v>
      </c>
    </row>
    <row r="18" spans="1:6">
      <c r="A18" s="348" t="s">
        <v>8</v>
      </c>
      <c r="B18" s="334">
        <v>493</v>
      </c>
    </row>
    <row r="19" spans="1:6">
      <c r="A19" s="348" t="s">
        <v>9</v>
      </c>
      <c r="B19" s="334">
        <v>452</v>
      </c>
    </row>
    <row r="20" spans="1:6">
      <c r="A20" s="348" t="s">
        <v>10</v>
      </c>
      <c r="B20" s="334">
        <v>504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73</v>
      </c>
    </row>
    <row r="27" spans="1:6">
      <c r="A27" s="348" t="s">
        <v>17</v>
      </c>
      <c r="B27" s="334">
        <v>5</v>
      </c>
    </row>
    <row r="28" spans="1:6" s="356" customFormat="1">
      <c r="A28" s="355" t="s">
        <v>18</v>
      </c>
      <c r="B28" s="355">
        <v>0</v>
      </c>
    </row>
    <row r="29" spans="1:6">
      <c r="A29" s="355" t="s">
        <v>744</v>
      </c>
      <c r="B29" s="355">
        <v>101</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36032276.163524702</v>
      </c>
      <c r="E38" s="334">
        <v>4</v>
      </c>
      <c r="F38" s="334">
        <v>653566.58647098695</v>
      </c>
    </row>
    <row r="39" spans="1:6">
      <c r="A39" s="348" t="s">
        <v>30</v>
      </c>
      <c r="B39" s="348" t="s">
        <v>31</v>
      </c>
      <c r="C39" s="334">
        <v>6972</v>
      </c>
      <c r="D39" s="334">
        <v>117205444.430434</v>
      </c>
      <c r="E39" s="334">
        <v>8399</v>
      </c>
      <c r="F39" s="334">
        <v>32175832.001416601</v>
      </c>
    </row>
    <row r="40" spans="1:6">
      <c r="A40" s="348" t="s">
        <v>30</v>
      </c>
      <c r="B40" s="348" t="s">
        <v>29</v>
      </c>
      <c r="C40" s="334">
        <v>0</v>
      </c>
      <c r="D40" s="334">
        <v>0</v>
      </c>
      <c r="E40" s="334">
        <v>1</v>
      </c>
      <c r="F40" s="334">
        <v>0</v>
      </c>
    </row>
    <row r="41" spans="1:6">
      <c r="A41" s="348" t="s">
        <v>32</v>
      </c>
      <c r="B41" s="348" t="s">
        <v>33</v>
      </c>
      <c r="C41" s="334">
        <v>94</v>
      </c>
      <c r="D41" s="334">
        <v>6287372.5266825296</v>
      </c>
      <c r="E41" s="334">
        <v>162</v>
      </c>
      <c r="F41" s="334">
        <v>3334332.5705666598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381139.81058979401</v>
      </c>
      <c r="E44" s="334">
        <v>17</v>
      </c>
      <c r="F44" s="334">
        <v>296386.59573520097</v>
      </c>
    </row>
    <row r="45" spans="1:6">
      <c r="A45" s="348" t="s">
        <v>32</v>
      </c>
      <c r="B45" s="348" t="s">
        <v>37</v>
      </c>
      <c r="C45" s="334">
        <v>3</v>
      </c>
      <c r="D45" s="334">
        <v>84743.539019005402</v>
      </c>
      <c r="E45" s="334">
        <v>3</v>
      </c>
      <c r="F45" s="334">
        <v>41923.975152602201</v>
      </c>
    </row>
    <row r="46" spans="1:6">
      <c r="A46" s="348" t="s">
        <v>32</v>
      </c>
      <c r="B46" s="348" t="s">
        <v>38</v>
      </c>
      <c r="C46" s="334">
        <v>0</v>
      </c>
      <c r="D46" s="334">
        <v>0</v>
      </c>
      <c r="E46" s="334">
        <v>0</v>
      </c>
      <c r="F46" s="334">
        <v>0</v>
      </c>
    </row>
    <row r="47" spans="1:6">
      <c r="A47" s="348" t="s">
        <v>32</v>
      </c>
      <c r="B47" s="348" t="s">
        <v>39</v>
      </c>
      <c r="C47" s="334">
        <v>4</v>
      </c>
      <c r="D47" s="334">
        <v>160282.75915216201</v>
      </c>
      <c r="E47" s="334">
        <v>6</v>
      </c>
      <c r="F47" s="334">
        <v>1338082.4117540901</v>
      </c>
    </row>
    <row r="48" spans="1:6">
      <c r="A48" s="348" t="s">
        <v>32</v>
      </c>
      <c r="B48" s="348" t="s">
        <v>29</v>
      </c>
      <c r="C48" s="334">
        <v>39</v>
      </c>
      <c r="D48" s="334">
        <v>6667656.2573844604</v>
      </c>
      <c r="E48" s="334">
        <v>49</v>
      </c>
      <c r="F48" s="334">
        <v>6182842.3488442097</v>
      </c>
    </row>
    <row r="49" spans="1:6">
      <c r="A49" s="348" t="s">
        <v>32</v>
      </c>
      <c r="B49" s="348" t="s">
        <v>40</v>
      </c>
      <c r="C49" s="334">
        <v>0</v>
      </c>
      <c r="D49" s="334">
        <v>0</v>
      </c>
      <c r="E49" s="334">
        <v>0</v>
      </c>
      <c r="F49" s="334">
        <v>0</v>
      </c>
    </row>
    <row r="50" spans="1:6">
      <c r="A50" s="348" t="s">
        <v>32</v>
      </c>
      <c r="B50" s="348" t="s">
        <v>41</v>
      </c>
      <c r="C50" s="334">
        <v>11</v>
      </c>
      <c r="D50" s="334">
        <v>1035123.2595808</v>
      </c>
      <c r="E50" s="334">
        <v>12</v>
      </c>
      <c r="F50" s="334">
        <v>1103537.74875791</v>
      </c>
    </row>
    <row r="51" spans="1:6">
      <c r="A51" s="348" t="s">
        <v>42</v>
      </c>
      <c r="B51" s="348" t="s">
        <v>43</v>
      </c>
      <c r="C51" s="334">
        <v>3</v>
      </c>
      <c r="D51" s="334">
        <v>34839800.338973098</v>
      </c>
      <c r="E51" s="334">
        <v>50</v>
      </c>
      <c r="F51" s="334">
        <v>2933300.96862021</v>
      </c>
    </row>
    <row r="52" spans="1:6">
      <c r="A52" s="348" t="s">
        <v>42</v>
      </c>
      <c r="B52" s="348" t="s">
        <v>29</v>
      </c>
      <c r="C52" s="334">
        <v>4</v>
      </c>
      <c r="D52" s="334">
        <v>43096342.2906138</v>
      </c>
      <c r="E52" s="334">
        <v>5</v>
      </c>
      <c r="F52" s="334">
        <v>118757.318500906</v>
      </c>
    </row>
    <row r="53" spans="1:6">
      <c r="A53" s="348" t="s">
        <v>44</v>
      </c>
      <c r="B53" s="348" t="s">
        <v>45</v>
      </c>
      <c r="C53" s="334">
        <v>160</v>
      </c>
      <c r="D53" s="334">
        <v>4023892.9138265201</v>
      </c>
      <c r="E53" s="334">
        <v>365</v>
      </c>
      <c r="F53" s="334">
        <v>1702372.83739001</v>
      </c>
    </row>
    <row r="54" spans="1:6">
      <c r="A54" s="348" t="s">
        <v>46</v>
      </c>
      <c r="B54" s="348" t="s">
        <v>47</v>
      </c>
      <c r="C54" s="334">
        <v>0</v>
      </c>
      <c r="D54" s="334">
        <v>0</v>
      </c>
      <c r="E54" s="334">
        <v>1</v>
      </c>
      <c r="F54" s="334">
        <v>1403390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3378794.7123368098</v>
      </c>
      <c r="E57" s="334">
        <v>88</v>
      </c>
      <c r="F57" s="334">
        <v>1924904.47104316</v>
      </c>
    </row>
    <row r="58" spans="1:6">
      <c r="A58" s="348" t="s">
        <v>49</v>
      </c>
      <c r="B58" s="348" t="s">
        <v>51</v>
      </c>
      <c r="C58" s="334">
        <v>51</v>
      </c>
      <c r="D58" s="334">
        <v>3533299.9276158698</v>
      </c>
      <c r="E58" s="334">
        <v>55</v>
      </c>
      <c r="F58" s="334">
        <v>1177304.4129302001</v>
      </c>
    </row>
    <row r="59" spans="1:6">
      <c r="A59" s="348" t="s">
        <v>49</v>
      </c>
      <c r="B59" s="348" t="s">
        <v>52</v>
      </c>
      <c r="C59" s="334">
        <v>166</v>
      </c>
      <c r="D59" s="334">
        <v>20378562.916065998</v>
      </c>
      <c r="E59" s="334">
        <v>311</v>
      </c>
      <c r="F59" s="334">
        <v>18200899.035077199</v>
      </c>
    </row>
    <row r="60" spans="1:6">
      <c r="A60" s="348" t="s">
        <v>49</v>
      </c>
      <c r="B60" s="348" t="s">
        <v>53</v>
      </c>
      <c r="C60" s="334">
        <v>58</v>
      </c>
      <c r="D60" s="334">
        <v>2827985.7273963899</v>
      </c>
      <c r="E60" s="334">
        <v>77</v>
      </c>
      <c r="F60" s="334">
        <v>2628466.2343611401</v>
      </c>
    </row>
    <row r="61" spans="1:6">
      <c r="A61" s="348" t="s">
        <v>49</v>
      </c>
      <c r="B61" s="348" t="s">
        <v>54</v>
      </c>
      <c r="C61" s="334">
        <v>285</v>
      </c>
      <c r="D61" s="334">
        <v>18335959.526480101</v>
      </c>
      <c r="E61" s="334">
        <v>537</v>
      </c>
      <c r="F61" s="334">
        <v>14490617.224223601</v>
      </c>
    </row>
    <row r="62" spans="1:6">
      <c r="A62" s="348" t="s">
        <v>49</v>
      </c>
      <c r="B62" s="348" t="s">
        <v>55</v>
      </c>
      <c r="C62" s="334">
        <v>14</v>
      </c>
      <c r="D62" s="334">
        <v>1910446.0857440501</v>
      </c>
      <c r="E62" s="334">
        <v>11</v>
      </c>
      <c r="F62" s="334">
        <v>511130.895557312</v>
      </c>
    </row>
    <row r="63" spans="1:6">
      <c r="A63" s="348" t="s">
        <v>49</v>
      </c>
      <c r="B63" s="348" t="s">
        <v>29</v>
      </c>
      <c r="C63" s="334">
        <v>114</v>
      </c>
      <c r="D63" s="334">
        <v>15159597.301854201</v>
      </c>
      <c r="E63" s="334">
        <v>108</v>
      </c>
      <c r="F63" s="334">
        <v>2668337.41972051</v>
      </c>
    </row>
    <row r="64" spans="1:6">
      <c r="A64" s="348" t="s">
        <v>56</v>
      </c>
      <c r="B64" s="348" t="s">
        <v>57</v>
      </c>
      <c r="C64" s="334">
        <v>0</v>
      </c>
      <c r="D64" s="334">
        <v>0</v>
      </c>
      <c r="E64" s="334">
        <v>0</v>
      </c>
      <c r="F64" s="334">
        <v>0</v>
      </c>
    </row>
    <row r="65" spans="1:6">
      <c r="A65" s="348" t="s">
        <v>56</v>
      </c>
      <c r="B65" s="348" t="s">
        <v>29</v>
      </c>
      <c r="C65" s="334">
        <v>2</v>
      </c>
      <c r="D65" s="334">
        <v>74690.928474488595</v>
      </c>
      <c r="E65" s="334">
        <v>3</v>
      </c>
      <c r="F65" s="334">
        <v>10488.8372009044</v>
      </c>
    </row>
    <row r="66" spans="1:6">
      <c r="A66" s="348" t="s">
        <v>56</v>
      </c>
      <c r="B66" s="348" t="s">
        <v>58</v>
      </c>
      <c r="C66" s="334">
        <v>0</v>
      </c>
      <c r="D66" s="334">
        <v>0</v>
      </c>
      <c r="E66" s="334">
        <v>15</v>
      </c>
      <c r="F66" s="334">
        <v>595243.53389854496</v>
      </c>
    </row>
    <row r="67" spans="1:6">
      <c r="A67" s="355" t="s">
        <v>56</v>
      </c>
      <c r="B67" s="355" t="s">
        <v>59</v>
      </c>
      <c r="C67" s="334">
        <v>0</v>
      </c>
      <c r="D67" s="334">
        <v>0</v>
      </c>
      <c r="E67" s="334">
        <v>0</v>
      </c>
      <c r="F67" s="334">
        <v>0</v>
      </c>
    </row>
    <row r="68" spans="1:6">
      <c r="A68" s="341" t="s">
        <v>56</v>
      </c>
      <c r="B68" s="341" t="s">
        <v>60</v>
      </c>
      <c r="C68" s="334">
        <v>4</v>
      </c>
      <c r="D68" s="334">
        <v>70687.329070738298</v>
      </c>
      <c r="E68" s="334">
        <v>10</v>
      </c>
      <c r="F68" s="334">
        <v>209287.374673596</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144745311</v>
      </c>
      <c r="E73" s="476">
        <v>148925219.32812622</v>
      </c>
    </row>
    <row r="74" spans="1:6">
      <c r="A74" s="348" t="s">
        <v>64</v>
      </c>
      <c r="B74" s="348" t="s">
        <v>657</v>
      </c>
      <c r="C74" s="1272" t="s">
        <v>659</v>
      </c>
      <c r="D74" s="476">
        <v>27339531.662937466</v>
      </c>
      <c r="E74" s="476">
        <v>23405748.638200089</v>
      </c>
    </row>
    <row r="75" spans="1:6">
      <c r="A75" s="348" t="s">
        <v>65</v>
      </c>
      <c r="B75" s="348" t="s">
        <v>656</v>
      </c>
      <c r="C75" s="1272" t="s">
        <v>660</v>
      </c>
      <c r="D75" s="476">
        <v>34139018</v>
      </c>
      <c r="E75" s="476">
        <v>34751155.99941092</v>
      </c>
    </row>
    <row r="76" spans="1:6">
      <c r="A76" s="348" t="s">
        <v>65</v>
      </c>
      <c r="B76" s="348" t="s">
        <v>657</v>
      </c>
      <c r="C76" s="1272" t="s">
        <v>661</v>
      </c>
      <c r="D76" s="476">
        <v>4358123.6629374661</v>
      </c>
      <c r="E76" s="476">
        <v>3670357.6113872821</v>
      </c>
    </row>
    <row r="77" spans="1:6">
      <c r="A77" s="348" t="s">
        <v>66</v>
      </c>
      <c r="B77" s="348" t="s">
        <v>656</v>
      </c>
      <c r="C77" s="1272" t="s">
        <v>662</v>
      </c>
      <c r="D77" s="476">
        <v>215603248</v>
      </c>
      <c r="E77" s="476">
        <v>229290403.7434665</v>
      </c>
    </row>
    <row r="78" spans="1:6">
      <c r="A78" s="341" t="s">
        <v>66</v>
      </c>
      <c r="B78" s="341" t="s">
        <v>657</v>
      </c>
      <c r="C78" s="341" t="s">
        <v>663</v>
      </c>
      <c r="D78" s="1273">
        <v>24319081</v>
      </c>
      <c r="E78" s="1273">
        <v>26157884.905600578</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545362.67412506824</v>
      </c>
      <c r="C83" s="476">
        <v>547762.94476341119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3438.6306747016965</v>
      </c>
    </row>
    <row r="92" spans="1:6">
      <c r="A92" s="341" t="s">
        <v>69</v>
      </c>
      <c r="B92" s="342">
        <v>5140.1408466525399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5036</v>
      </c>
    </row>
    <row r="98" spans="1:6">
      <c r="A98" s="348" t="s">
        <v>72</v>
      </c>
      <c r="B98" s="334">
        <v>8</v>
      </c>
    </row>
    <row r="99" spans="1:6">
      <c r="A99" s="348" t="s">
        <v>73</v>
      </c>
      <c r="B99" s="334">
        <v>24</v>
      </c>
    </row>
    <row r="100" spans="1:6">
      <c r="A100" s="348" t="s">
        <v>74</v>
      </c>
      <c r="B100" s="334">
        <v>636</v>
      </c>
    </row>
    <row r="101" spans="1:6">
      <c r="A101" s="348" t="s">
        <v>75</v>
      </c>
      <c r="B101" s="334">
        <v>60</v>
      </c>
    </row>
    <row r="102" spans="1:6">
      <c r="A102" s="348" t="s">
        <v>76</v>
      </c>
      <c r="B102" s="334">
        <v>89</v>
      </c>
    </row>
    <row r="103" spans="1:6">
      <c r="A103" s="348" t="s">
        <v>77</v>
      </c>
      <c r="B103" s="334">
        <v>100</v>
      </c>
    </row>
    <row r="104" spans="1:6">
      <c r="A104" s="348" t="s">
        <v>78</v>
      </c>
      <c r="B104" s="334">
        <v>1453</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34</v>
      </c>
      <c r="C123" s="334">
        <v>28</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147</v>
      </c>
    </row>
    <row r="130" spans="1:6">
      <c r="A130" s="348" t="s">
        <v>295</v>
      </c>
      <c r="B130" s="334">
        <v>0</v>
      </c>
    </row>
    <row r="131" spans="1:6">
      <c r="A131" s="348" t="s">
        <v>296</v>
      </c>
      <c r="B131" s="334">
        <v>5</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106998.36902687805</v>
      </c>
      <c r="C3" s="43" t="s">
        <v>170</v>
      </c>
      <c r="D3" s="43"/>
      <c r="E3" s="154"/>
      <c r="F3" s="43"/>
      <c r="G3" s="43"/>
      <c r="H3" s="43"/>
      <c r="I3" s="43"/>
      <c r="J3" s="43"/>
      <c r="K3" s="96"/>
    </row>
    <row r="4" spans="1:11">
      <c r="A4" s="383" t="s">
        <v>171</v>
      </c>
      <c r="B4" s="49">
        <f>IF(ISERROR('SEAP template'!B69),0,'SEAP template'!B69)</f>
        <v>51766.688188020897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10263.462639110676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0.2100000617659295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14662.090784312752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61697.02927927929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0.23764662505779607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1403.39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1403.39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0.2100000617659295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294.71198668168785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32175.832001416602</v>
      </c>
      <c r="C5" s="17">
        <f>IF(ISERROR('Eigen informatie GS &amp; warmtenet'!B57),0,'Eigen informatie GS &amp; warmtenet'!B57)</f>
        <v>0</v>
      </c>
      <c r="D5" s="30">
        <f>(SUM(HH_hh_gas_kWh,HH_rest_gas_kWh)/1000)*0.902</f>
        <v>105719.31087625147</v>
      </c>
      <c r="E5" s="17">
        <f>B46*B57</f>
        <v>1086.1971842261644</v>
      </c>
      <c r="F5" s="17">
        <f>B51*B62</f>
        <v>0</v>
      </c>
      <c r="G5" s="18"/>
      <c r="H5" s="17"/>
      <c r="I5" s="17"/>
      <c r="J5" s="17">
        <f>B50*B61+C50*C61</f>
        <v>0</v>
      </c>
      <c r="K5" s="17"/>
      <c r="L5" s="17"/>
      <c r="M5" s="17"/>
      <c r="N5" s="17">
        <f>B48*B59+C48*C59</f>
        <v>9254.2525946780752</v>
      </c>
      <c r="O5" s="17">
        <f>B69*B70*B71</f>
        <v>275.1466666666667</v>
      </c>
      <c r="P5" s="17">
        <f>B77*B78*B79/1000-B77*B78*B79/1000/B80</f>
        <v>1048.6666666666667</v>
      </c>
    </row>
    <row r="6" spans="1:16">
      <c r="A6" s="16" t="s">
        <v>621</v>
      </c>
      <c r="B6" s="843">
        <f>kWh_PV_kleiner_dan_10kW</f>
        <v>3438.6306747016965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35614.462676118295</v>
      </c>
      <c r="C8" s="21">
        <f>C5</f>
        <v>0</v>
      </c>
      <c r="D8" s="21">
        <f>D5</f>
        <v>105719.31087625147</v>
      </c>
      <c r="E8" s="21">
        <f>E5</f>
        <v>1086.1971842261644</v>
      </c>
      <c r="F8" s="21">
        <f>F5</f>
        <v>0</v>
      </c>
      <c r="G8" s="21"/>
      <c r="H8" s="21"/>
      <c r="I8" s="21"/>
      <c r="J8" s="21">
        <f>J5</f>
        <v>0</v>
      </c>
      <c r="K8" s="21"/>
      <c r="L8" s="21">
        <f>L5</f>
        <v>0</v>
      </c>
      <c r="M8" s="21">
        <f>M5</f>
        <v>0</v>
      </c>
      <c r="N8" s="21">
        <f>N5</f>
        <v>9254.2525946780752</v>
      </c>
      <c r="O8" s="21">
        <f>O5</f>
        <v>275.1466666666667</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0.2100000617659295</v>
      </c>
      <c r="C10" s="25">
        <f ca="1">'EF ele_warmte'!B22</f>
        <v>0.23764662505779607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7479.0393617452328</v>
      </c>
      <c r="C12" s="23">
        <f ca="1">C10*C8</f>
        <v>0</v>
      </c>
      <c r="D12" s="23">
        <f>D8*D10</f>
        <v>21355.300797002797</v>
      </c>
      <c r="E12" s="23">
        <f>E10*E8</f>
        <v>246.56676081933932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5036</v>
      </c>
      <c r="C18" s="166" t="s">
        <v>111</v>
      </c>
      <c r="D18" s="228"/>
      <c r="E18" s="15"/>
    </row>
    <row r="19" spans="1:7">
      <c r="A19" s="171" t="s">
        <v>72</v>
      </c>
      <c r="B19" s="37">
        <f>aantalw2001_ander</f>
        <v>8</v>
      </c>
      <c r="C19" s="166" t="s">
        <v>111</v>
      </c>
      <c r="D19" s="229"/>
      <c r="E19" s="15"/>
    </row>
    <row r="20" spans="1:7">
      <c r="A20" s="171" t="s">
        <v>73</v>
      </c>
      <c r="B20" s="37">
        <f>aantalw2001_propaan</f>
        <v>24</v>
      </c>
      <c r="C20" s="167">
        <f>IF(ISERROR(B20/SUM($B$20,$B$21,$B$22)*100),0,B20/SUM($B$20,$B$21,$B$22)*100)</f>
        <v>3.3333333333333335</v>
      </c>
      <c r="D20" s="229"/>
      <c r="E20" s="15"/>
    </row>
    <row r="21" spans="1:7">
      <c r="A21" s="171" t="s">
        <v>74</v>
      </c>
      <c r="B21" s="37">
        <f>aantalw2001_elektriciteit</f>
        <v>636</v>
      </c>
      <c r="C21" s="167">
        <f>IF(ISERROR(B21/SUM($B$20,$B$21,$B$22)*100),0,B21/SUM($B$20,$B$21,$B$22)*100)</f>
        <v>88.333333333333329</v>
      </c>
      <c r="D21" s="229"/>
      <c r="E21" s="15"/>
    </row>
    <row r="22" spans="1:7">
      <c r="A22" s="171" t="s">
        <v>75</v>
      </c>
      <c r="B22" s="37">
        <f>aantalw2001_hout</f>
        <v>60</v>
      </c>
      <c r="C22" s="167">
        <f>IF(ISERROR(B22/SUM($B$20,$B$21,$B$22)*100),0,B22/SUM($B$20,$B$21,$B$22)*100)</f>
        <v>8.3333333333333321</v>
      </c>
      <c r="D22" s="229"/>
      <c r="E22" s="15"/>
    </row>
    <row r="23" spans="1:7">
      <c r="A23" s="171" t="s">
        <v>76</v>
      </c>
      <c r="B23" s="37">
        <f>aantalw2001_niet_gespec</f>
        <v>89</v>
      </c>
      <c r="C23" s="166" t="s">
        <v>111</v>
      </c>
      <c r="D23" s="228"/>
      <c r="E23" s="15"/>
    </row>
    <row r="24" spans="1:7">
      <c r="A24" s="171" t="s">
        <v>77</v>
      </c>
      <c r="B24" s="37">
        <f>aantalw2001_steenkool</f>
        <v>100</v>
      </c>
      <c r="C24" s="166" t="s">
        <v>111</v>
      </c>
      <c r="D24" s="229"/>
      <c r="E24" s="15"/>
    </row>
    <row r="25" spans="1:7">
      <c r="A25" s="171" t="s">
        <v>78</v>
      </c>
      <c r="B25" s="37">
        <f>aantalw2001_stookolie</f>
        <v>1453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8566</v>
      </c>
      <c r="C28" s="36"/>
      <c r="D28" s="228"/>
    </row>
    <row r="29" spans="1:7" s="15" customFormat="1">
      <c r="A29" s="230" t="s">
        <v>795</v>
      </c>
      <c r="B29" s="37">
        <f>SUM(HH_hh_gas_aantal,HH_rest_gas_aantal)</f>
        <v>6972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6972</v>
      </c>
      <c r="C32" s="167">
        <f>IF(ISERROR(B32/SUM($B$32,$B$34,$B$35,$B$36,$B$38,$B$39)*100),0,B32/SUM($B$32,$B$34,$B$35,$B$36,$B$38,$B$39)*100)</f>
        <v>81.917518505463519</v>
      </c>
      <c r="D32" s="233"/>
      <c r="G32" s="15"/>
    </row>
    <row r="33" spans="1:7">
      <c r="A33" s="171" t="s">
        <v>72</v>
      </c>
      <c r="B33" s="34" t="s">
        <v>111</v>
      </c>
      <c r="C33" s="167"/>
      <c r="D33" s="233"/>
      <c r="G33" s="15"/>
    </row>
    <row r="34" spans="1:7">
      <c r="A34" s="171" t="s">
        <v>73</v>
      </c>
      <c r="B34" s="33">
        <f>IF((($B$28-$B$32-$B$39-$B$77-$B$38)*C20/100)&lt;0,0,($B$28-$B$32-$B$39-$B$77-$B$38)*C20/100)</f>
        <v>51.3</v>
      </c>
      <c r="C34" s="167">
        <f>IF(ISERROR(B34/SUM($B$32,$B$34,$B$35,$B$36,$B$38,$B$39)*100),0,B34/SUM($B$32,$B$34,$B$35,$B$36,$B$38,$B$39)*100)</f>
        <v>0.60274938315121607</v>
      </c>
      <c r="D34" s="233"/>
      <c r="G34" s="15"/>
    </row>
    <row r="35" spans="1:7">
      <c r="A35" s="171" t="s">
        <v>74</v>
      </c>
      <c r="B35" s="33">
        <f>IF((($B$28-$B$32-$B$39-$B$77-$B$38)*C21/100)&lt;0,0,($B$28-$B$32-$B$39-$B$77-$B$38)*C21/100)</f>
        <v>1359.45</v>
      </c>
      <c r="C35" s="167">
        <f>IF(ISERROR(B35/SUM($B$32,$B$34,$B$35,$B$36,$B$38,$B$39)*100),0,B35/SUM($B$32,$B$34,$B$35,$B$36,$B$38,$B$39)*100)</f>
        <v>15.972858653507227</v>
      </c>
      <c r="D35" s="233"/>
      <c r="G35" s="15"/>
    </row>
    <row r="36" spans="1:7">
      <c r="A36" s="171" t="s">
        <v>75</v>
      </c>
      <c r="B36" s="33">
        <f>IF((($B$28-$B$32-$B$39-$B$77-$B$38)*C22/100)&lt;0,0,($B$28-$B$32-$B$39-$B$77-$B$38)*C22/100)</f>
        <v>128.24999999999997</v>
      </c>
      <c r="C36" s="167">
        <f>IF(ISERROR(B36/SUM($B$32,$B$34,$B$35,$B$36,$B$38,$B$39)*100),0,B36/SUM($B$32,$B$34,$B$35,$B$36,$B$38,$B$39)*100)</f>
        <v>1.5068734578780398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6972</v>
      </c>
      <c r="C44" s="34" t="s">
        <v>111</v>
      </c>
      <c r="D44" s="174"/>
    </row>
    <row r="45" spans="1:7">
      <c r="A45" s="171" t="s">
        <v>72</v>
      </c>
      <c r="B45" s="33" t="str">
        <f t="shared" si="0"/>
        <v>-</v>
      </c>
      <c r="C45" s="34" t="s">
        <v>111</v>
      </c>
      <c r="D45" s="174"/>
    </row>
    <row r="46" spans="1:7">
      <c r="A46" s="171" t="s">
        <v>73</v>
      </c>
      <c r="B46" s="33">
        <f t="shared" si="0"/>
        <v>51.3</v>
      </c>
      <c r="C46" s="34" t="s">
        <v>111</v>
      </c>
      <c r="D46" s="174"/>
    </row>
    <row r="47" spans="1:7">
      <c r="A47" s="171" t="s">
        <v>74</v>
      </c>
      <c r="B47" s="33">
        <f t="shared" si="0"/>
        <v>1359.45</v>
      </c>
      <c r="C47" s="34" t="s">
        <v>111</v>
      </c>
      <c r="D47" s="174"/>
    </row>
    <row r="48" spans="1:7">
      <c r="A48" s="171" t="s">
        <v>75</v>
      </c>
      <c r="B48" s="33">
        <f t="shared" si="0"/>
        <v>128.24999999999997</v>
      </c>
      <c r="C48" s="33">
        <f>B48*10</f>
        <v>1282.4999999999998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41601.659692913126</v>
      </c>
      <c r="C5" s="17">
        <f>IF(ISERROR('Eigen informatie GS &amp; warmtenet'!B58),0,'Eigen informatie GS &amp; warmtenet'!B58)</f>
        <v>0</v>
      </c>
      <c r="D5" s="30">
        <f>SUM(D6:D12)</f>
        <v>59103.230870139072</v>
      </c>
      <c r="E5" s="17">
        <f>SUM(E6:E12)</f>
        <v>741.09002179594574</v>
      </c>
      <c r="F5" s="17">
        <f>SUM(F6:F12)</f>
        <v>7245.575305992912</v>
      </c>
      <c r="G5" s="18"/>
      <c r="H5" s="17"/>
      <c r="I5" s="17"/>
      <c r="J5" s="17">
        <f>SUM(J6:J12)</f>
        <v>4.8243577050563161E-2</v>
      </c>
      <c r="K5" s="17"/>
      <c r="L5" s="17"/>
      <c r="M5" s="17"/>
      <c r="N5" s="17">
        <f>SUM(N6:N12)</f>
        <v>1952.4338395671657</v>
      </c>
      <c r="O5" s="17">
        <f>B38*B39*B40</f>
        <v>0</v>
      </c>
      <c r="P5" s="17">
        <f>B46*B47*B48/1000-B46*B47*B48/1000/B49</f>
        <v>114.4</v>
      </c>
      <c r="R5" s="32"/>
    </row>
    <row r="6" spans="1:18">
      <c r="A6" s="32" t="s">
        <v>54</v>
      </c>
      <c r="B6" s="37">
        <f>B26</f>
        <v>14490.617224223601</v>
      </c>
      <c r="C6" s="33"/>
      <c r="D6" s="37">
        <f>IF(ISERROR(TER_kantoor_gas_kWh/1000),0,TER_kantoor_gas_kWh/1000)*0.902</f>
        <v>16539.035492885054</v>
      </c>
      <c r="E6" s="33">
        <f>$C$26*'E Balans VL '!I12/100/3.6*1000000</f>
        <v>9.0822369257649055E-2</v>
      </c>
      <c r="F6" s="33">
        <f>$C$26*('E Balans VL '!L12+'E Balans VL '!N12)/100/3.6*1000000</f>
        <v>2177.5348623381092</v>
      </c>
      <c r="G6" s="34"/>
      <c r="H6" s="33"/>
      <c r="I6" s="33"/>
      <c r="J6" s="33">
        <f>$C$26*('E Balans VL '!D12+'E Balans VL '!E12)/100/3.6*1000000</f>
        <v>0</v>
      </c>
      <c r="K6" s="33"/>
      <c r="L6" s="33"/>
      <c r="M6" s="33"/>
      <c r="N6" s="33">
        <f>$C$26*'E Balans VL '!Y12/100/3.6*1000000</f>
        <v>13.858126905184356</v>
      </c>
      <c r="O6" s="33"/>
      <c r="P6" s="33"/>
      <c r="R6" s="32"/>
    </row>
    <row r="7" spans="1:18">
      <c r="A7" s="32" t="s">
        <v>53</v>
      </c>
      <c r="B7" s="37">
        <f t="shared" ref="B7:B12" si="0">B27</f>
        <v>2628.4662343611399</v>
      </c>
      <c r="C7" s="33"/>
      <c r="D7" s="37">
        <f>IF(ISERROR(TER_horeca_gas_kWh/1000),0,TER_horeca_gas_kWh/1000)*0.902</f>
        <v>2550.8431261115438</v>
      </c>
      <c r="E7" s="33">
        <f>$C$27*'E Balans VL '!I9/100/3.6*1000000</f>
        <v>37.639198657155674</v>
      </c>
      <c r="F7" s="33">
        <f>$C$27*('E Balans VL '!L9+'E Balans VL '!N9)/100/3.6*1000000</f>
        <v>332.85051542634278</v>
      </c>
      <c r="G7" s="34"/>
      <c r="H7" s="33"/>
      <c r="I7" s="33"/>
      <c r="J7" s="33">
        <f>$C$27*('E Balans VL '!D9+'E Balans VL '!E9)/100/3.6*1000000</f>
        <v>0</v>
      </c>
      <c r="K7" s="33"/>
      <c r="L7" s="33"/>
      <c r="M7" s="33"/>
      <c r="N7" s="33">
        <f>$C$27*'E Balans VL '!Y9/100/3.6*1000000</f>
        <v>0.75562608967300093</v>
      </c>
      <c r="O7" s="33"/>
      <c r="P7" s="33"/>
      <c r="R7" s="32"/>
    </row>
    <row r="8" spans="1:18">
      <c r="A8" s="6" t="s">
        <v>52</v>
      </c>
      <c r="B8" s="37">
        <f t="shared" si="0"/>
        <v>18200.8990350772</v>
      </c>
      <c r="C8" s="33"/>
      <c r="D8" s="37">
        <f>IF(ISERROR(TER_handel_gas_kWh/1000),0,TER_handel_gas_kWh/1000)*0.902</f>
        <v>18381.463750291532</v>
      </c>
      <c r="E8" s="33">
        <f>$C$28*'E Balans VL '!I13/100/3.6*1000000</f>
        <v>660.1443635679351</v>
      </c>
      <c r="F8" s="33">
        <f>$C$28*('E Balans VL '!L13+'E Balans VL '!N13)/100/3.6*1000000</f>
        <v>3505.6774499757612</v>
      </c>
      <c r="G8" s="34"/>
      <c r="H8" s="33"/>
      <c r="I8" s="33"/>
      <c r="J8" s="33">
        <f>$C$28*('E Balans VL '!D13+'E Balans VL '!E13)/100/3.6*1000000</f>
        <v>0</v>
      </c>
      <c r="K8" s="33"/>
      <c r="L8" s="33"/>
      <c r="M8" s="33"/>
      <c r="N8" s="33">
        <f>$C$28*'E Balans VL '!Y13/100/3.6*1000000</f>
        <v>25.212433003677823</v>
      </c>
      <c r="O8" s="33"/>
      <c r="P8" s="33"/>
      <c r="R8" s="32"/>
    </row>
    <row r="9" spans="1:18">
      <c r="A9" s="32" t="s">
        <v>51</v>
      </c>
      <c r="B9" s="37">
        <f t="shared" si="0"/>
        <v>1177.3044129302002</v>
      </c>
      <c r="C9" s="33"/>
      <c r="D9" s="37">
        <f>IF(ISERROR(TER_gezond_gas_kWh/1000),0,TER_gezond_gas_kWh/1000)*0.902</f>
        <v>3187.0365347095149</v>
      </c>
      <c r="E9" s="33">
        <f>$C$29*'E Balans VL '!I10/100/3.6*1000000</f>
        <v>7.3710880030550749E-2</v>
      </c>
      <c r="F9" s="33">
        <f>$C$29*('E Balans VL '!L10+'E Balans VL '!N10)/100/3.6*1000000</f>
        <v>174.89215509134414</v>
      </c>
      <c r="G9" s="34"/>
      <c r="H9" s="33"/>
      <c r="I9" s="33"/>
      <c r="J9" s="33">
        <f>$C$29*('E Balans VL '!D10+'E Balans VL '!E10)/100/3.6*1000000</f>
        <v>0</v>
      </c>
      <c r="K9" s="33"/>
      <c r="L9" s="33"/>
      <c r="M9" s="33"/>
      <c r="N9" s="33">
        <f>$C$29*'E Balans VL '!Y10/100/3.6*1000000</f>
        <v>18.210658259369623</v>
      </c>
      <c r="O9" s="33"/>
      <c r="P9" s="33"/>
      <c r="R9" s="32"/>
    </row>
    <row r="10" spans="1:18">
      <c r="A10" s="32" t="s">
        <v>50</v>
      </c>
      <c r="B10" s="37">
        <f t="shared" si="0"/>
        <v>1924.9044710431599</v>
      </c>
      <c r="C10" s="33"/>
      <c r="D10" s="37">
        <f>IF(ISERROR(TER_ander_gas_kWh/1000),0,TER_ander_gas_kWh/1000)*0.902</f>
        <v>3047.6728305278025</v>
      </c>
      <c r="E10" s="33">
        <f>$C$30*'E Balans VL '!I14/100/3.6*1000000</f>
        <v>2.2944173450201837</v>
      </c>
      <c r="F10" s="33">
        <f>$C$30*('E Balans VL '!L14+'E Balans VL '!N14)/100/3.6*1000000</f>
        <v>503.64058415638056</v>
      </c>
      <c r="G10" s="34"/>
      <c r="H10" s="33"/>
      <c r="I10" s="33"/>
      <c r="J10" s="33">
        <f>$C$30*('E Balans VL '!D14+'E Balans VL '!E14)/100/3.6*1000000</f>
        <v>4.1782130649164265E-2</v>
      </c>
      <c r="K10" s="33"/>
      <c r="L10" s="33"/>
      <c r="M10" s="33"/>
      <c r="N10" s="33">
        <f>$C$30*'E Balans VL '!Y14/100/3.6*1000000</f>
        <v>1634.5817750604494</v>
      </c>
      <c r="O10" s="33"/>
      <c r="P10" s="33"/>
      <c r="R10" s="32"/>
    </row>
    <row r="11" spans="1:18">
      <c r="A11" s="32" t="s">
        <v>55</v>
      </c>
      <c r="B11" s="37">
        <f t="shared" si="0"/>
        <v>511.13089555731199</v>
      </c>
      <c r="C11" s="33"/>
      <c r="D11" s="37">
        <f>IF(ISERROR(TER_onderwijs_gas_kWh/1000),0,TER_onderwijs_gas_kWh/1000)*0.902</f>
        <v>1723.2223693411333</v>
      </c>
      <c r="E11" s="33">
        <f>$C$31*'E Balans VL '!I11/100/3.6*1000000</f>
        <v>7.7121419593695171</v>
      </c>
      <c r="F11" s="33">
        <f>$C$31*('E Balans VL '!L11+'E Balans VL '!N11)/100/3.6*1000000</f>
        <v>89.558298460620264</v>
      </c>
      <c r="G11" s="34"/>
      <c r="H11" s="33"/>
      <c r="I11" s="33"/>
      <c r="J11" s="33">
        <f>$C$31*('E Balans VL '!D11+'E Balans VL '!E11)/100/3.6*1000000</f>
        <v>0</v>
      </c>
      <c r="K11" s="33"/>
      <c r="L11" s="33"/>
      <c r="M11" s="33"/>
      <c r="N11" s="33">
        <f>$C$31*'E Balans VL '!Y11/100/3.6*1000000</f>
        <v>1.4383611977487287</v>
      </c>
      <c r="O11" s="33"/>
      <c r="P11" s="33"/>
      <c r="R11" s="32"/>
    </row>
    <row r="12" spans="1:18">
      <c r="A12" s="32" t="s">
        <v>260</v>
      </c>
      <c r="B12" s="37">
        <f t="shared" si="0"/>
        <v>2668.3374197205098</v>
      </c>
      <c r="C12" s="33"/>
      <c r="D12" s="37">
        <f>IF(ISERROR(TER_rest_gas_kWh/1000),0,TER_rest_gas_kWh/1000)*0.902</f>
        <v>13673.956766272489</v>
      </c>
      <c r="E12" s="33">
        <f>$C$32*'E Balans VL '!I8/100/3.6*1000000</f>
        <v>33.135367017177082</v>
      </c>
      <c r="F12" s="33">
        <f>$C$32*('E Balans VL '!L8+'E Balans VL '!N8)/100/3.6*1000000</f>
        <v>461.42144054435573</v>
      </c>
      <c r="G12" s="34"/>
      <c r="H12" s="33"/>
      <c r="I12" s="33"/>
      <c r="J12" s="33">
        <f>$C$32*('E Balans VL '!D8+'E Balans VL '!E8)/100/3.6*1000000</f>
        <v>6.4614464013988933E-3</v>
      </c>
      <c r="K12" s="33"/>
      <c r="L12" s="33"/>
      <c r="M12" s="33"/>
      <c r="N12" s="33">
        <f>$C$32*'E Balans VL '!Y8/100/3.6*1000000</f>
        <v>258.37685905106275</v>
      </c>
      <c r="O12" s="33"/>
      <c r="P12" s="33"/>
      <c r="R12" s="32"/>
    </row>
    <row r="13" spans="1:18">
      <c r="A13" s="16" t="s">
        <v>488</v>
      </c>
      <c r="B13" s="247">
        <f ca="1">'lokale energieproductie'!N90+'lokale energieproductie'!N59</f>
        <v>12874.500000000002</v>
      </c>
      <c r="C13" s="247">
        <f ca="1">'lokale energieproductie'!O90+'lokale energieproductie'!O59</f>
        <v>18392.142857142859</v>
      </c>
      <c r="D13" s="310">
        <f ca="1">('lokale energieproductie'!P59+'lokale energieproductie'!P90)*(-1)</f>
        <v>-36784.285714285725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54476.159692913126</v>
      </c>
      <c r="C16" s="21">
        <f t="shared" ca="1" si="1"/>
        <v>18392.142857142859</v>
      </c>
      <c r="D16" s="21">
        <f t="shared" ca="1" si="1"/>
        <v>22318.945155853347</v>
      </c>
      <c r="E16" s="21">
        <f t="shared" si="1"/>
        <v>741.09002179594574</v>
      </c>
      <c r="F16" s="21">
        <f t="shared" ca="1" si="1"/>
        <v>7245.575305992912</v>
      </c>
      <c r="G16" s="21">
        <f t="shared" si="1"/>
        <v>0</v>
      </c>
      <c r="H16" s="21">
        <f t="shared" si="1"/>
        <v>0</v>
      </c>
      <c r="I16" s="21">
        <f t="shared" si="1"/>
        <v>0</v>
      </c>
      <c r="J16" s="21">
        <f t="shared" si="1"/>
        <v>4.8243577050563161E-2</v>
      </c>
      <c r="K16" s="21">
        <f t="shared" si="1"/>
        <v>0</v>
      </c>
      <c r="L16" s="21">
        <f t="shared" ca="1" si="1"/>
        <v>0</v>
      </c>
      <c r="M16" s="21">
        <f t="shared" si="1"/>
        <v>0</v>
      </c>
      <c r="N16" s="21">
        <f t="shared" ca="1" si="1"/>
        <v>1952.4338395671657</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0.2100000617659295</v>
      </c>
      <c r="C18" s="25">
        <f ca="1">'EF ele_warmte'!B22</f>
        <v>0.23764662505779607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11439.996900282396</v>
      </c>
      <c r="C20" s="23">
        <f t="shared" ref="C20:P20" ca="1" si="2">C16*C18</f>
        <v>4370.8306775808514</v>
      </c>
      <c r="D20" s="23">
        <f t="shared" ca="1" si="2"/>
        <v>4508.4269214823762</v>
      </c>
      <c r="E20" s="23">
        <f t="shared" si="2"/>
        <v>168.22743494767968</v>
      </c>
      <c r="F20" s="23">
        <f t="shared" ca="1" si="2"/>
        <v>1934.5686067001077</v>
      </c>
      <c r="G20" s="23">
        <f t="shared" si="2"/>
        <v>0</v>
      </c>
      <c r="H20" s="23">
        <f t="shared" si="2"/>
        <v>0</v>
      </c>
      <c r="I20" s="23">
        <f t="shared" si="2"/>
        <v>0</v>
      </c>
      <c r="J20" s="23">
        <f t="shared" si="2"/>
        <v>1.7078226275899357E-2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14490.617224223601</v>
      </c>
      <c r="C26" s="39">
        <f>IF(ISERROR(B26*3.6/1000000/'E Balans VL '!Z12*100),0,B26*3.6/1000000/'E Balans VL '!Z12*100)</f>
        <v>0.30630869312821263</v>
      </c>
      <c r="D26" s="237" t="s">
        <v>754</v>
      </c>
      <c r="F26" s="6"/>
    </row>
    <row r="27" spans="1:18">
      <c r="A27" s="231" t="s">
        <v>53</v>
      </c>
      <c r="B27" s="33">
        <f>IF(ISERROR(TER_horeca_ele_kWh/1000),0,TER_horeca_ele_kWh/1000)</f>
        <v>2628.4662343611399</v>
      </c>
      <c r="C27" s="39">
        <f>IF(ISERROR(B27*3.6/1000000/'E Balans VL '!Z9*100),0,B27*3.6/1000000/'E Balans VL '!Z9*100)</f>
        <v>0.20720101357530868</v>
      </c>
      <c r="D27" s="237" t="s">
        <v>754</v>
      </c>
      <c r="F27" s="6"/>
    </row>
    <row r="28" spans="1:18">
      <c r="A28" s="171" t="s">
        <v>52</v>
      </c>
      <c r="B28" s="33">
        <f>IF(ISERROR(TER_handel_ele_kWh/1000),0,TER_handel_ele_kWh/1000)</f>
        <v>18200.8990350772</v>
      </c>
      <c r="C28" s="39">
        <f>IF(ISERROR(B28*3.6/1000000/'E Balans VL '!Z13*100),0,B28*3.6/1000000/'E Balans VL '!Z13*100)</f>
        <v>0.52826362987063369</v>
      </c>
      <c r="D28" s="237" t="s">
        <v>754</v>
      </c>
      <c r="F28" s="6"/>
    </row>
    <row r="29" spans="1:18">
      <c r="A29" s="231" t="s">
        <v>51</v>
      </c>
      <c r="B29" s="33">
        <f>IF(ISERROR(TER_gezond_ele_kWh/1000),0,TER_gezond_ele_kWh/1000)</f>
        <v>1177.3044129302002</v>
      </c>
      <c r="C29" s="39">
        <f>IF(ISERROR(B29*3.6/1000000/'E Balans VL '!Z10*100),0,B29*3.6/1000000/'E Balans VL '!Z10*100)</f>
        <v>0.1239894865302965</v>
      </c>
      <c r="D29" s="237" t="s">
        <v>754</v>
      </c>
      <c r="F29" s="6"/>
    </row>
    <row r="30" spans="1:18">
      <c r="A30" s="231" t="s">
        <v>50</v>
      </c>
      <c r="B30" s="33">
        <f>IF(ISERROR(TER_ander_ele_kWh/1000),0,TER_ander_ele_kWh/1000)</f>
        <v>1924.9044710431599</v>
      </c>
      <c r="C30" s="39">
        <f>IF(ISERROR(B30*3.6/1000000/'E Balans VL '!Z14*100),0,B30*3.6/1000000/'E Balans VL '!Z14*100)</f>
        <v>0.14198137187131488</v>
      </c>
      <c r="D30" s="237" t="s">
        <v>754</v>
      </c>
      <c r="F30" s="6"/>
    </row>
    <row r="31" spans="1:18">
      <c r="A31" s="231" t="s">
        <v>55</v>
      </c>
      <c r="B31" s="33">
        <f>IF(ISERROR(TER_onderwijs_ele_kWh/1000),0,TER_onderwijs_ele_kWh/1000)</f>
        <v>511.13089555731199</v>
      </c>
      <c r="C31" s="39">
        <f>IF(ISERROR(B31*3.6/1000000/'E Balans VL '!Z11*100),0,B31*3.6/1000000/'E Balans VL '!Z11*100)</f>
        <v>0.12693774414806819</v>
      </c>
      <c r="D31" s="237" t="s">
        <v>754</v>
      </c>
    </row>
    <row r="32" spans="1:18">
      <c r="A32" s="231" t="s">
        <v>260</v>
      </c>
      <c r="B32" s="33">
        <f>IF(ISERROR(TER_rest_ele_kWh/1000),0,TER_rest_ele_kWh/1000)</f>
        <v>2668.3374197205098</v>
      </c>
      <c r="C32" s="39">
        <f>IF(ISERROR(B32*3.6/1000000/'E Balans VL '!Z8*100),0,B32*3.6/1000000/'E Balans VL '!Z8*100)</f>
        <v>2.1956875106414316E-2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12297.105650810672</v>
      </c>
      <c r="C5" s="17">
        <f>IF(ISERROR('Eigen informatie GS &amp; warmtenet'!B59),0,'Eigen informatie GS &amp; warmtenet'!B59)</f>
        <v>0</v>
      </c>
      <c r="D5" s="30">
        <f>SUM(D6:D15)</f>
        <v>13183.918973472693</v>
      </c>
      <c r="E5" s="17">
        <f>SUM(E6:E15)</f>
        <v>1324.2549582013164</v>
      </c>
      <c r="F5" s="17">
        <f>SUM(F6:F15)</f>
        <v>4049.0614317717595</v>
      </c>
      <c r="G5" s="18"/>
      <c r="H5" s="17"/>
      <c r="I5" s="17"/>
      <c r="J5" s="17">
        <f>SUM(J6:J15)</f>
        <v>22.410298770671812</v>
      </c>
      <c r="K5" s="17"/>
      <c r="L5" s="17"/>
      <c r="M5" s="17"/>
      <c r="N5" s="17">
        <f>SUM(N6:N15)</f>
        <v>6467.673892995972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296.38659573520096</v>
      </c>
      <c r="C8" s="33"/>
      <c r="D8" s="37">
        <f>IF( ISERROR(IND_metaal_Gas_kWH/1000),0,IND_metaal_Gas_kWH/1000)*0.902</f>
        <v>343.78810915199421</v>
      </c>
      <c r="E8" s="33">
        <f>C30*'E Balans VL '!I18/100/3.6*1000000</f>
        <v>2.7249884948887391</v>
      </c>
      <c r="F8" s="33">
        <f>C30*'E Balans VL '!L18/100/3.6*1000000+C30*'E Balans VL '!N18/100/3.6*1000000</f>
        <v>27.79119497133512</v>
      </c>
      <c r="G8" s="34"/>
      <c r="H8" s="33"/>
      <c r="I8" s="33"/>
      <c r="J8" s="40">
        <f>C30*'E Balans VL '!D18/100/3.6*1000000+C30*'E Balans VL '!E18/100/3.6*1000000</f>
        <v>0</v>
      </c>
      <c r="K8" s="33"/>
      <c r="L8" s="33"/>
      <c r="M8" s="33"/>
      <c r="N8" s="33">
        <f>C30*'E Balans VL '!Y18/100/3.6*1000000</f>
        <v>4.2284445876380632</v>
      </c>
      <c r="O8" s="33"/>
      <c r="P8" s="33"/>
      <c r="R8" s="32"/>
    </row>
    <row r="9" spans="1:18">
      <c r="A9" s="6" t="s">
        <v>33</v>
      </c>
      <c r="B9" s="37">
        <f t="shared" si="0"/>
        <v>3334.3325705666598</v>
      </c>
      <c r="C9" s="33"/>
      <c r="D9" s="37">
        <f>IF( ISERROR(IND_andere_gas_kWh/1000),0,IND_andere_gas_kWh/1000)*0.902</f>
        <v>5671.210019067642</v>
      </c>
      <c r="E9" s="33">
        <f>C31*'E Balans VL '!I19/100/3.6*1000000</f>
        <v>974.69032217548113</v>
      </c>
      <c r="F9" s="33">
        <f>C31*'E Balans VL '!L19/100/3.6*1000000+C31*'E Balans VL '!N19/100/3.6*1000000</f>
        <v>2679.3886062352021</v>
      </c>
      <c r="G9" s="34"/>
      <c r="H9" s="33"/>
      <c r="I9" s="33"/>
      <c r="J9" s="40">
        <f>C31*'E Balans VL '!D19/100/3.6*1000000+C31*'E Balans VL '!E19/100/3.6*1000000</f>
        <v>0</v>
      </c>
      <c r="K9" s="33"/>
      <c r="L9" s="33"/>
      <c r="M9" s="33"/>
      <c r="N9" s="33">
        <f>C31*'E Balans VL '!Y19/100/3.6*1000000</f>
        <v>1101.7151931470219</v>
      </c>
      <c r="O9" s="33"/>
      <c r="P9" s="33"/>
      <c r="R9" s="32"/>
    </row>
    <row r="10" spans="1:18">
      <c r="A10" s="6" t="s">
        <v>41</v>
      </c>
      <c r="B10" s="37">
        <f t="shared" si="0"/>
        <v>1103.5377487579101</v>
      </c>
      <c r="C10" s="33"/>
      <c r="D10" s="37">
        <f>IF( ISERROR(IND_voed_gas_kWh/1000),0,IND_voed_gas_kWh/1000)*0.902</f>
        <v>933.68118014188155</v>
      </c>
      <c r="E10" s="33">
        <f>C32*'E Balans VL '!I20/100/3.6*1000000</f>
        <v>2.3345512180528081</v>
      </c>
      <c r="F10" s="33">
        <f>C32*'E Balans VL '!L20/100/3.6*1000000+C32*'E Balans VL '!N20/100/3.6*1000000</f>
        <v>70.16405729678273</v>
      </c>
      <c r="G10" s="34"/>
      <c r="H10" s="33"/>
      <c r="I10" s="33"/>
      <c r="J10" s="40">
        <f>C32*'E Balans VL '!D20/100/3.6*1000000+C32*'E Balans VL '!E20/100/3.6*1000000</f>
        <v>0</v>
      </c>
      <c r="K10" s="33"/>
      <c r="L10" s="33"/>
      <c r="M10" s="33"/>
      <c r="N10" s="33">
        <f>C32*'E Balans VL '!Y20/100/3.6*1000000</f>
        <v>76.154994640892554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41.923975152602203</v>
      </c>
      <c r="C12" s="33"/>
      <c r="D12" s="37">
        <f>IF( ISERROR(IND_min_gas_kWh/1000),0,IND_min_gas_kWh/1000)*0.902</f>
        <v>76.438672195142871</v>
      </c>
      <c r="E12" s="33">
        <f>C34*'E Balans VL '!I22/100/3.6*1000000</f>
        <v>1.2152034108252217</v>
      </c>
      <c r="F12" s="33">
        <f>C34*'E Balans VL '!L22/100/3.6*1000000+C34*'E Balans VL '!N22/100/3.6*1000000</f>
        <v>14.413936408942405</v>
      </c>
      <c r="G12" s="34"/>
      <c r="H12" s="33"/>
      <c r="I12" s="33"/>
      <c r="J12" s="40">
        <f>C34*'E Balans VL '!D22/100/3.6*1000000+C34*'E Balans VL '!E22/100/3.6*1000000</f>
        <v>6.8893724777190898E-2</v>
      </c>
      <c r="K12" s="33"/>
      <c r="L12" s="33"/>
      <c r="M12" s="33"/>
      <c r="N12" s="33">
        <f>C34*'E Balans VL '!Y22/100/3.6*1000000</f>
        <v>9.177847109800112</v>
      </c>
      <c r="O12" s="33"/>
      <c r="P12" s="33"/>
      <c r="R12" s="32"/>
    </row>
    <row r="13" spans="1:18">
      <c r="A13" s="6" t="s">
        <v>39</v>
      </c>
      <c r="B13" s="37">
        <f t="shared" si="0"/>
        <v>1338.0824117540901</v>
      </c>
      <c r="C13" s="33"/>
      <c r="D13" s="37">
        <f>IF( ISERROR(IND_papier_gas_kWh/1000),0,IND_papier_gas_kWh/1000)*0.902</f>
        <v>144.57504875525015</v>
      </c>
      <c r="E13" s="33">
        <f>C35*'E Balans VL '!I23/100/3.6*1000000</f>
        <v>1.8984329252070904</v>
      </c>
      <c r="F13" s="33">
        <f>C35*'E Balans VL '!L23/100/3.6*1000000+C35*'E Balans VL '!N23/100/3.6*1000000</f>
        <v>32.667623185189449</v>
      </c>
      <c r="G13" s="34"/>
      <c r="H13" s="33"/>
      <c r="I13" s="33"/>
      <c r="J13" s="40">
        <f>C35*'E Balans VL '!D23/100/3.6*1000000+C35*'E Balans VL '!E23/100/3.6*1000000</f>
        <v>0.20694700766098956</v>
      </c>
      <c r="K13" s="33"/>
      <c r="L13" s="33"/>
      <c r="M13" s="33"/>
      <c r="N13" s="33">
        <f>C35*'E Balans VL '!Y23/100/3.6*1000000</f>
        <v>3889.4888251060947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6182.8423488442095</v>
      </c>
      <c r="C15" s="33"/>
      <c r="D15" s="37">
        <f>IF( ISERROR(IND_rest_gas_kWh/1000),0,IND_rest_gas_kWh/1000)*0.902</f>
        <v>6014.225944160783</v>
      </c>
      <c r="E15" s="33">
        <f>C37*'E Balans VL '!I15/100/3.6*1000000</f>
        <v>341.39145997686154</v>
      </c>
      <c r="F15" s="33">
        <f>C37*'E Balans VL '!L15/100/3.6*1000000+C37*'E Balans VL '!N15/100/3.6*1000000</f>
        <v>1224.6360136743078</v>
      </c>
      <c r="G15" s="34"/>
      <c r="H15" s="33"/>
      <c r="I15" s="33"/>
      <c r="J15" s="40">
        <f>C37*'E Balans VL '!D15/100/3.6*1000000+C37*'E Balans VL '!E15/100/3.6*1000000</f>
        <v>22.134458038233632</v>
      </c>
      <c r="K15" s="33"/>
      <c r="L15" s="33"/>
      <c r="M15" s="33"/>
      <c r="N15" s="33">
        <f>C37*'E Balans VL '!Y15/100/3.6*1000000</f>
        <v>1386.9085884045253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12297.105650810672</v>
      </c>
      <c r="C18" s="21">
        <f>C5+C16</f>
        <v>0</v>
      </c>
      <c r="D18" s="21">
        <f>MAX((D5+D16),0)</f>
        <v>13183.918973472693</v>
      </c>
      <c r="E18" s="21">
        <f>MAX((E5+E16),0)</f>
        <v>1324.2549582013164</v>
      </c>
      <c r="F18" s="21">
        <f>MAX((F5+F16),0)</f>
        <v>4049.0614317717595</v>
      </c>
      <c r="G18" s="21"/>
      <c r="H18" s="21"/>
      <c r="I18" s="21"/>
      <c r="J18" s="21">
        <f>MAX((J5+J16),0)</f>
        <v>22.410298770671812</v>
      </c>
      <c r="K18" s="21"/>
      <c r="L18" s="21">
        <f>MAX((L5+L16),0)</f>
        <v>0</v>
      </c>
      <c r="M18" s="21"/>
      <c r="N18" s="21">
        <f>MAX((N5+N16),0)</f>
        <v>6467.673892995972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0.2100000617659295</v>
      </c>
      <c r="C20" s="25">
        <f ca="1">'EF ele_warmte'!B22</f>
        <v>0.23764662505779607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2582.392946212402</v>
      </c>
      <c r="C22" s="23">
        <f ca="1">C18*C20</f>
        <v>0</v>
      </c>
      <c r="D22" s="23">
        <f>D18*D20</f>
        <v>2663.1516326414844</v>
      </c>
      <c r="E22" s="23">
        <f>E18*E20</f>
        <v>300.60587551169886</v>
      </c>
      <c r="F22" s="23">
        <f>F18*F20</f>
        <v>1081.0994022830598</v>
      </c>
      <c r="G22" s="23"/>
      <c r="H22" s="23"/>
      <c r="I22" s="23"/>
      <c r="J22" s="23">
        <f>J18*J20</f>
        <v>7.933245764817821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296.38659573520096</v>
      </c>
      <c r="C30" s="39">
        <f>IF(ISERROR(B30*3.6/1000000/'E Balans VL '!Z18*100),0,B30*3.6/1000000/'E Balans VL '!Z18*100)</f>
        <v>1.6796988365251998E-2</v>
      </c>
      <c r="D30" s="237" t="s">
        <v>754</v>
      </c>
    </row>
    <row r="31" spans="1:18">
      <c r="A31" s="6" t="s">
        <v>33</v>
      </c>
      <c r="B31" s="37">
        <f>IF( ISERROR(IND_ander_ele_kWh/1000),0,IND_ander_ele_kWh/1000)</f>
        <v>3334.3325705666598</v>
      </c>
      <c r="C31" s="39">
        <f>IF(ISERROR(B31*3.6/1000000/'E Balans VL '!Z19*100),0,B31*3.6/1000000/'E Balans VL '!Z19*100)</f>
        <v>0.15123144148172521</v>
      </c>
      <c r="D31" s="237" t="s">
        <v>754</v>
      </c>
    </row>
    <row r="32" spans="1:18">
      <c r="A32" s="171" t="s">
        <v>41</v>
      </c>
      <c r="B32" s="37">
        <f>IF( ISERROR(IND_voed_ele_kWh/1000),0,IND_voed_ele_kWh/1000)</f>
        <v>1103.5377487579101</v>
      </c>
      <c r="C32" s="39">
        <f>IF(ISERROR(B32*3.6/1000000/'E Balans VL '!Z20*100),0,B32*3.6/1000000/'E Balans VL '!Z20*100)</f>
        <v>3.4137432207470224E-2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41.923975152602203</v>
      </c>
      <c r="C34" s="39">
        <f>IF(ISERROR(B34*3.6/1000000/'E Balans VL '!Z22*100),0,B34*3.6/1000000/'E Balans VL '!Z22*100)</f>
        <v>7.5408151169926501E-3</v>
      </c>
      <c r="D34" s="237" t="s">
        <v>754</v>
      </c>
    </row>
    <row r="35" spans="1:5">
      <c r="A35" s="171" t="s">
        <v>39</v>
      </c>
      <c r="B35" s="37">
        <f>IF( ISERROR(IND_papier_ele_kWh/1000),0,IND_papier_ele_kWh/1000)</f>
        <v>1338.0824117540901</v>
      </c>
      <c r="C35" s="39">
        <f>IF(ISERROR(B35*3.6/1000000/'E Balans VL '!Z22*100),0,B35*3.6/1000000/'E Balans VL '!Z22*100)</f>
        <v>0.24067927818411874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6182.8423488442095</v>
      </c>
      <c r="C37" s="39">
        <f>IF(ISERROR(B37*3.6/1000000/'E Balans VL '!Z15*100),0,B37*3.6/1000000/'E Balans VL '!Z15*100)</f>
        <v>4.9006618867149611E-2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3052.0582871211163</v>
      </c>
      <c r="C5" s="17">
        <f>'Eigen informatie GS &amp; warmtenet'!B60</f>
        <v>0</v>
      </c>
      <c r="D5" s="30">
        <f>IF(ISERROR(SUM(LB_lb_gas_kWh,LB_rest_gas_kWh,onbekend_gas_kWh)/1000),0,SUM(LB_lb_gas_kWh,LB_rest_gas_kWh,onbekend_gas_kWh)/1000)*0.902</f>
        <v>73927.952060158917</v>
      </c>
      <c r="E5" s="17">
        <f>B17*'E Balans VL '!I25/3.6*1000000/100</f>
        <v>89.709315120464851</v>
      </c>
      <c r="F5" s="17">
        <f>B17*('E Balans VL '!L25/3.6*1000000+'E Balans VL '!N25/3.6*1000000)/100</f>
        <v>12714.709899573243</v>
      </c>
      <c r="G5" s="18"/>
      <c r="H5" s="17"/>
      <c r="I5" s="17"/>
      <c r="J5" s="17">
        <f>('E Balans VL '!D25+'E Balans VL '!E25)/3.6*1000000*landbouw!B17/100</f>
        <v>442.17770210186251</v>
      </c>
      <c r="K5" s="17"/>
      <c r="L5" s="17">
        <f>L6*(-1)</f>
        <v>0</v>
      </c>
      <c r="M5" s="17"/>
      <c r="N5" s="17">
        <f>N6*(-1)</f>
        <v>0</v>
      </c>
      <c r="O5" s="17"/>
      <c r="P5" s="17"/>
      <c r="R5" s="32"/>
    </row>
    <row r="6" spans="1:18">
      <c r="A6" s="16" t="s">
        <v>488</v>
      </c>
      <c r="B6" s="17" t="s">
        <v>211</v>
      </c>
      <c r="C6" s="17">
        <f>'lokale energieproductie'!O91+'lokale energieproductie'!O60</f>
        <v>43304.886422136427</v>
      </c>
      <c r="D6" s="310">
        <f>('lokale energieproductie'!P60+'lokale energieproductie'!P91)*(-1)</f>
        <v>-86609.543114543121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3052.0582871211163</v>
      </c>
      <c r="C8" s="21">
        <f>C5+C6</f>
        <v>43304.886422136427</v>
      </c>
      <c r="D8" s="21">
        <f>MAX((D5+D6),0)</f>
        <v>0</v>
      </c>
      <c r="E8" s="21">
        <f>MAX((E5+E6),0)</f>
        <v>89.709315120464851</v>
      </c>
      <c r="F8" s="21">
        <f>MAX((F5+F6),0)</f>
        <v>12714.709899573243</v>
      </c>
      <c r="G8" s="21"/>
      <c r="H8" s="21"/>
      <c r="I8" s="21"/>
      <c r="J8" s="21">
        <f>MAX((J5+J6),0)</f>
        <v>442.17770210186251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0.2100000617659295</v>
      </c>
      <c r="C10" s="31">
        <f ca="1">'EF ele_warmte'!B22</f>
        <v>0.23764662505779607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640.93242880865148</v>
      </c>
      <c r="C12" s="23">
        <f ca="1">C8*C10</f>
        <v>10291.260106731899</v>
      </c>
      <c r="D12" s="23">
        <f>D8*D10</f>
        <v>0</v>
      </c>
      <c r="E12" s="23">
        <f>E8*E10</f>
        <v>20.364014532345522</v>
      </c>
      <c r="F12" s="23">
        <f>F8*F10</f>
        <v>3394.8275431860561</v>
      </c>
      <c r="G12" s="23"/>
      <c r="H12" s="23"/>
      <c r="I12" s="23"/>
      <c r="J12" s="23">
        <f>J8*J10</f>
        <v>156.53090654405932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0.43309664648333807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201.65817219743877</v>
      </c>
      <c r="C26" s="247">
        <f>B26*'GWP N2O_CH4'!B5</f>
        <v>4234.8216161462142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39.108493753759511</v>
      </c>
      <c r="C27" s="247">
        <f>B27*'GWP N2O_CH4'!B5</f>
        <v>821.27836882894974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2.5018585318351789</v>
      </c>
      <c r="C28" s="247">
        <f>B28*'GWP N2O_CH4'!B4</f>
        <v>775.57614486890543</v>
      </c>
      <c r="D28" s="50"/>
    </row>
    <row r="29" spans="1:4">
      <c r="A29" s="41" t="s">
        <v>277</v>
      </c>
      <c r="B29" s="247">
        <f>B34*'ha_N2O bodem landbouw'!B4</f>
        <v>6.0087732451806781</v>
      </c>
      <c r="C29" s="247">
        <f>B29*'GWP N2O_CH4'!B4</f>
        <v>1862.7197060060103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1.3711813473964271E-3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5.5869379169341739E-4</v>
      </c>
      <c r="C5" s="463" t="s">
        <v>211</v>
      </c>
      <c r="D5" s="448">
        <f>SUM(D6:D11)</f>
        <v>1.8307576676785519E-3</v>
      </c>
      <c r="E5" s="448">
        <f>SUM(E6:E11)</f>
        <v>2.7962056794387708E-3</v>
      </c>
      <c r="F5" s="461" t="s">
        <v>211</v>
      </c>
      <c r="G5" s="448">
        <f>SUM(G6:G11)</f>
        <v>1.1979927083992234</v>
      </c>
      <c r="H5" s="448">
        <f>SUM(H6:H11)</f>
        <v>0.21207060620499102</v>
      </c>
      <c r="I5" s="463" t="s">
        <v>211</v>
      </c>
      <c r="J5" s="463" t="s">
        <v>211</v>
      </c>
      <c r="K5" s="463" t="s">
        <v>211</v>
      </c>
      <c r="L5" s="463" t="s">
        <v>211</v>
      </c>
      <c r="M5" s="448">
        <f>SUM(M6:M11)</f>
        <v>7.6288060737809055E-2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2.0499582584430261E-4</v>
      </c>
      <c r="C6" s="449"/>
      <c r="D6" s="962">
        <f>vkm_2011_GW_PW*SUMIFS(TableVerdeelsleutelVkm[CNG],TableVerdeelsleutelVkm[Voertuigtype],"Lichte voertuigen")*SUMIFS(TableECFTransport[EnergieConsumptieFactor (PJ per km)],TableECFTransport[Index],CONCATENATE($A6,"_CNG_CNG"))</f>
        <v>6.1486982063106114E-4</v>
      </c>
      <c r="E6" s="962">
        <f>vkm_2011_GW_PW*SUMIFS(TableVerdeelsleutelVkm[LPG],TableVerdeelsleutelVkm[Voertuigtype],"Lichte voertuigen")*SUMIFS(TableECFTransport[EnergieConsumptieFactor (PJ per km)],TableECFTransport[Index],CONCATENATE($A6,"_LPG_LPG"))</f>
        <v>8.4000049667907074E-4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0.21718562221994983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6.9922135113145531E-2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1.4764246327983227E-2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0.25655550715657771</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7.8179228914451195E-5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1.4992251945512762E-2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4.8349450079412325E-5</v>
      </c>
      <c r="C8" s="449"/>
      <c r="D8" s="451">
        <f>vkm_2011_NGW_PW*SUMIFS(TableVerdeelsleutelVkm[CNG],TableVerdeelsleutelVkm[Voertuigtype],"Lichte voertuigen")*SUMIFS(TableECFTransport[EnergieConsumptieFactor (PJ per km)],TableECFTransport[Index],CONCATENATE($A8,"_CNG_CNG"))</f>
        <v>2.5784825168949008E-4</v>
      </c>
      <c r="E8" s="451">
        <f>vkm_2011_NGW_PW*SUMIFS(TableVerdeelsleutelVkm[LPG],TableVerdeelsleutelVkm[Voertuigtype],"Lichte voertuigen")*SUMIFS(TableECFTransport[EnergieConsumptieFactor (PJ per km)],TableECFTransport[Index],CONCATENATE($A8,"_LPG_LPG"))</f>
        <v>3.2623064842806813E-4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7.8603682472458386E-2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2.8494699800458639E-2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5.4380708148725173E-3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5.2439723570806673E-2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1.5043569147860465E-5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3.0643755421798009E-3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3.0534851576970244E-4</v>
      </c>
      <c r="C10" s="449"/>
      <c r="D10" s="451">
        <f>vkm_2011_SW_PW*SUMIFS(TableVerdeelsleutelVkm[CNG],TableVerdeelsleutelVkm[Voertuigtype],"Lichte voertuigen")*SUMIFS(TableECFTransport[EnergieConsumptieFactor (PJ per km)],TableECFTransport[Index],CONCATENATE($A10,"_CNG_CNG"))</f>
        <v>9.5803959535800069E-4</v>
      </c>
      <c r="E10" s="451">
        <f>vkm_2011_SW_PW*SUMIFS(TableVerdeelsleutelVkm[LPG],TableVerdeelsleutelVkm[Voertuigtype],"Lichte voertuigen")*SUMIFS(TableECFTransport[EnergieConsumptieFactor (PJ per km)],TableECFTransport[Index],CONCATENATE($A10,"_LPG_LPG"))</f>
        <v>1.6299745343316321E-3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0.37571282319281096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0.11348897708813242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2.5319252960346931E-2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0.21749534978661975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7.1571405192104732E-5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1.2709863146913815E-2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155.19271991483816</v>
      </c>
      <c r="C14" s="21"/>
      <c r="D14" s="21">
        <f t="shared" ref="D14:M14" si="0">((D5)*10^9/3600)+D12</f>
        <v>508.54379657737553</v>
      </c>
      <c r="E14" s="21">
        <f t="shared" si="0"/>
        <v>776.72379984410304</v>
      </c>
      <c r="F14" s="21"/>
      <c r="G14" s="21">
        <f t="shared" si="0"/>
        <v>332775.75233311765</v>
      </c>
      <c r="H14" s="21">
        <f t="shared" si="0"/>
        <v>58908.501723608613</v>
      </c>
      <c r="I14" s="21"/>
      <c r="J14" s="21"/>
      <c r="K14" s="21"/>
      <c r="L14" s="21"/>
      <c r="M14" s="21">
        <f t="shared" si="0"/>
        <v>21191.127982724738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0.2100000617659295</v>
      </c>
      <c r="C16" s="56">
        <f ca="1">'EF ele_warmte'!B22</f>
        <v>0.23764662505779607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32.590480767738612</v>
      </c>
      <c r="C18" s="23"/>
      <c r="D18" s="23">
        <f t="shared" ref="D18:M18" si="1">D14*D16</f>
        <v>102.72584690862986</v>
      </c>
      <c r="E18" s="23">
        <f t="shared" si="1"/>
        <v>176.31630256461139</v>
      </c>
      <c r="F18" s="23"/>
      <c r="G18" s="23">
        <f t="shared" si="1"/>
        <v>88851.125872942415</v>
      </c>
      <c r="H18" s="23">
        <f t="shared" si="1"/>
        <v>14668.216929178545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6.8498407212573267E-3</v>
      </c>
      <c r="H50" s="321">
        <f t="shared" si="2"/>
        <v>0</v>
      </c>
      <c r="I50" s="321">
        <f t="shared" si="2"/>
        <v>0</v>
      </c>
      <c r="J50" s="321">
        <f t="shared" si="2"/>
        <v>0</v>
      </c>
      <c r="K50" s="321">
        <f t="shared" si="2"/>
        <v>0</v>
      </c>
      <c r="L50" s="321">
        <f t="shared" si="2"/>
        <v>0</v>
      </c>
      <c r="M50" s="321">
        <f t="shared" si="2"/>
        <v>3.8904071382233002E-4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6.8498407212573267E-3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3.8904071382233002E-4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1902.7335336825909</v>
      </c>
      <c r="H54" s="21">
        <f t="shared" si="3"/>
        <v>0</v>
      </c>
      <c r="I54" s="21">
        <f t="shared" si="3"/>
        <v>0</v>
      </c>
      <c r="J54" s="21">
        <f t="shared" si="3"/>
        <v>0</v>
      </c>
      <c r="K54" s="21">
        <f t="shared" si="3"/>
        <v>0</v>
      </c>
      <c r="L54" s="21">
        <f t="shared" si="3"/>
        <v>0</v>
      </c>
      <c r="M54" s="21">
        <f t="shared" si="3"/>
        <v>108.06686495064721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0.2100000617659295</v>
      </c>
      <c r="C56" s="56">
        <f ca="1">'EF ele_warmte'!B22</f>
        <v>0.23764662505779607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508.02985349325178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8578.771521354236</v>
      </c>
      <c r="C6" s="1263"/>
      <c r="D6" s="1248"/>
      <c r="E6" s="1248"/>
      <c r="F6" s="1266"/>
      <c r="G6" s="1269"/>
      <c r="H6" s="1260"/>
      <c r="I6" s="1248"/>
      <c r="J6" s="1248"/>
      <c r="K6" s="1248"/>
      <c r="L6" s="1252"/>
      <c r="M6" s="575"/>
      <c r="N6" s="1226"/>
      <c r="O6" s="1227"/>
      <c r="Q6" s="573"/>
      <c r="R6" s="1214"/>
      <c r="S6" s="1214"/>
    </row>
    <row r="7" spans="1:19" s="563" customFormat="1">
      <c r="A7" s="576" t="s">
        <v>252</v>
      </c>
      <c r="B7" s="577">
        <f>N57</f>
        <v>43187.916666666664</v>
      </c>
      <c r="C7" s="578">
        <f>B100</f>
        <v>50809.220985696411</v>
      </c>
      <c r="D7" s="579"/>
      <c r="E7" s="579">
        <f>E100</f>
        <v>0</v>
      </c>
      <c r="F7" s="580"/>
      <c r="G7" s="581"/>
      <c r="H7" s="579">
        <f>I100</f>
        <v>0</v>
      </c>
      <c r="I7" s="579">
        <f>G100+F100</f>
        <v>0</v>
      </c>
      <c r="J7" s="579">
        <f>H100+D100+C100</f>
        <v>0</v>
      </c>
      <c r="K7" s="579"/>
      <c r="L7" s="582"/>
      <c r="M7" s="583">
        <f>C7*$C$11+D7*$D$11+E7*$E$11+F7*$F$11+G7*$G$11+H7*$H$11+I7*$I$11+J7*$J$11</f>
        <v>10263.462639110676</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51766.688188020897</v>
      </c>
      <c r="C9" s="594">
        <f t="shared" ref="C9:L9" si="0">SUM(C7:C8)</f>
        <v>50809.220985696411</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10263.462639110676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61697.029279279282</v>
      </c>
      <c r="C16" s="610">
        <f>B101</f>
        <v>72584.607843132428</v>
      </c>
      <c r="D16" s="611"/>
      <c r="E16" s="611">
        <f>E101</f>
        <v>0</v>
      </c>
      <c r="F16" s="612"/>
      <c r="G16" s="613"/>
      <c r="H16" s="610">
        <f>I101</f>
        <v>0</v>
      </c>
      <c r="I16" s="611">
        <f>G101+F101</f>
        <v>0</v>
      </c>
      <c r="J16" s="611">
        <f>H101+D101+C101</f>
        <v>0</v>
      </c>
      <c r="K16" s="611"/>
      <c r="L16" s="614"/>
      <c r="M16" s="615">
        <f>C16*$C$21+E16*$E$21+H16*$H$21+I16*$I$21+J16*$J$21+D16*$D$21+F16*$F$21+G16*$G$21+K16*$K$21+L16*$L$21</f>
        <v>14662.090784312752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61697.029279279282</v>
      </c>
      <c r="C19" s="593">
        <f>SUM(C16:C18)</f>
        <v>72584.607843132428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14662.090784312752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11024</v>
      </c>
      <c r="C27" s="851">
        <v>2550</v>
      </c>
      <c r="D27" s="672" t="s">
        <v>844</v>
      </c>
      <c r="E27" s="671" t="s">
        <v>845</v>
      </c>
      <c r="F27" s="671" t="s">
        <v>846</v>
      </c>
      <c r="G27" s="671" t="s">
        <v>847</v>
      </c>
      <c r="H27" s="671" t="s">
        <v>848</v>
      </c>
      <c r="I27" s="671" t="s">
        <v>845</v>
      </c>
      <c r="J27" s="850">
        <v>39444</v>
      </c>
      <c r="K27" s="850">
        <v>39444</v>
      </c>
      <c r="L27" s="671" t="s">
        <v>849</v>
      </c>
      <c r="M27" s="671">
        <v>4008</v>
      </c>
      <c r="N27" s="671">
        <v>18036</v>
      </c>
      <c r="O27" s="671">
        <v>25765.714285714286</v>
      </c>
      <c r="P27" s="671">
        <v>51531.428571428572</v>
      </c>
      <c r="Q27" s="671">
        <v>0</v>
      </c>
      <c r="R27" s="671">
        <v>0</v>
      </c>
      <c r="S27" s="671">
        <v>0</v>
      </c>
      <c r="T27" s="671">
        <v>0</v>
      </c>
      <c r="U27" s="671">
        <v>0</v>
      </c>
      <c r="V27" s="671">
        <v>0</v>
      </c>
      <c r="W27" s="671">
        <v>0</v>
      </c>
      <c r="X27" s="671">
        <v>10</v>
      </c>
      <c r="Y27" s="671" t="s">
        <v>112</v>
      </c>
      <c r="Z27" s="673" t="s">
        <v>112</v>
      </c>
    </row>
    <row r="28" spans="1:26" s="625" customFormat="1" ht="63.75">
      <c r="A28" s="624"/>
      <c r="B28" s="851">
        <v>11024</v>
      </c>
      <c r="C28" s="851">
        <v>2550</v>
      </c>
      <c r="D28" s="672" t="s">
        <v>850</v>
      </c>
      <c r="E28" s="671" t="s">
        <v>851</v>
      </c>
      <c r="F28" s="671" t="s">
        <v>852</v>
      </c>
      <c r="G28" s="671" t="s">
        <v>847</v>
      </c>
      <c r="H28" s="671" t="s">
        <v>848</v>
      </c>
      <c r="I28" s="671" t="s">
        <v>853</v>
      </c>
      <c r="J28" s="850">
        <v>41991</v>
      </c>
      <c r="K28" s="850">
        <v>39583</v>
      </c>
      <c r="L28" s="671" t="s">
        <v>849</v>
      </c>
      <c r="M28" s="671">
        <v>2861</v>
      </c>
      <c r="N28" s="671">
        <v>12874.500000000002</v>
      </c>
      <c r="O28" s="671">
        <v>18392.142857142859</v>
      </c>
      <c r="P28" s="671">
        <v>36784.285714285725</v>
      </c>
      <c r="Q28" s="671">
        <v>0</v>
      </c>
      <c r="R28" s="671">
        <v>0</v>
      </c>
      <c r="S28" s="671">
        <v>0</v>
      </c>
      <c r="T28" s="671">
        <v>0</v>
      </c>
      <c r="U28" s="671">
        <v>0</v>
      </c>
      <c r="V28" s="671">
        <v>0</v>
      </c>
      <c r="W28" s="671">
        <v>0</v>
      </c>
      <c r="X28" s="671">
        <v>1600</v>
      </c>
      <c r="Y28" s="671" t="s">
        <v>50</v>
      </c>
      <c r="Z28" s="673" t="s">
        <v>156</v>
      </c>
    </row>
    <row r="29" spans="1:26" s="625" customFormat="1" ht="25.5">
      <c r="A29" s="624"/>
      <c r="B29" s="851">
        <v>11024</v>
      </c>
      <c r="C29" s="851">
        <v>2550</v>
      </c>
      <c r="D29" s="672" t="s">
        <v>854</v>
      </c>
      <c r="E29" s="671" t="s">
        <v>855</v>
      </c>
      <c r="F29" s="671" t="s">
        <v>856</v>
      </c>
      <c r="G29" s="671" t="s">
        <v>847</v>
      </c>
      <c r="H29" s="671" t="s">
        <v>848</v>
      </c>
      <c r="I29" s="671" t="s">
        <v>855</v>
      </c>
      <c r="J29" s="850">
        <v>40849</v>
      </c>
      <c r="K29" s="850">
        <v>39645</v>
      </c>
      <c r="L29" s="671" t="s">
        <v>849</v>
      </c>
      <c r="M29" s="671">
        <v>2728</v>
      </c>
      <c r="N29" s="671">
        <v>12276.000000000002</v>
      </c>
      <c r="O29" s="671">
        <v>17537.142857142859</v>
      </c>
      <c r="P29" s="671">
        <v>35074.285714285725</v>
      </c>
      <c r="Q29" s="671">
        <v>0</v>
      </c>
      <c r="R29" s="671">
        <v>0</v>
      </c>
      <c r="S29" s="671">
        <v>0</v>
      </c>
      <c r="T29" s="671">
        <v>0</v>
      </c>
      <c r="U29" s="671">
        <v>0</v>
      </c>
      <c r="V29" s="671">
        <v>0</v>
      </c>
      <c r="W29" s="671">
        <v>0</v>
      </c>
      <c r="X29" s="671">
        <v>10</v>
      </c>
      <c r="Y29" s="671" t="s">
        <v>112</v>
      </c>
      <c r="Z29" s="673" t="s">
        <v>112</v>
      </c>
    </row>
    <row r="30" spans="1:26" s="625" customFormat="1" ht="25.5">
      <c r="A30" s="624"/>
      <c r="B30" s="851">
        <v>11024</v>
      </c>
      <c r="C30" s="851">
        <v>2550</v>
      </c>
      <c r="D30" s="672"/>
      <c r="E30" s="671"/>
      <c r="F30" s="671" t="s">
        <v>857</v>
      </c>
      <c r="G30" s="671" t="s">
        <v>858</v>
      </c>
      <c r="H30" s="671" t="s">
        <v>858</v>
      </c>
      <c r="I30" s="671" t="s">
        <v>859</v>
      </c>
      <c r="J30" s="850">
        <v>42311</v>
      </c>
      <c r="K30" s="850">
        <v>42280</v>
      </c>
      <c r="L30" s="671" t="s">
        <v>849</v>
      </c>
      <c r="M30" s="671">
        <v>1.7</v>
      </c>
      <c r="N30" s="671">
        <v>1.4166666666666665</v>
      </c>
      <c r="O30" s="671">
        <v>2.0292792792792791</v>
      </c>
      <c r="P30" s="671">
        <v>3.8288288288288284</v>
      </c>
      <c r="Q30" s="671">
        <v>0</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9598.7000000000007</v>
      </c>
      <c r="N57" s="629">
        <f>SUM(N27:N56)</f>
        <v>43187.916666666664</v>
      </c>
      <c r="O57" s="629">
        <f t="shared" ref="O57:W57" si="2">SUM(O27:O56)</f>
        <v>61697.029279279282</v>
      </c>
      <c r="P57" s="629">
        <f t="shared" si="2"/>
        <v>123393.82882882885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2861</v>
      </c>
      <c r="N59" s="629">
        <f ca="1">SUMIF($Z$27:AB56,"tertiair",N27:N56)</f>
        <v>12874.500000000002</v>
      </c>
      <c r="O59" s="629">
        <f ca="1">SUMIF($Z$27:AC56,"tertiair",O27:O56)</f>
        <v>18392.142857142859</v>
      </c>
      <c r="P59" s="629">
        <f ca="1">SUMIF($Z$27:AD56,"tertiair",P27:P56)</f>
        <v>36784.285714285725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6737.7</v>
      </c>
      <c r="N60" s="634">
        <f t="shared" ref="N60:W60" si="4">SUMIF($Z$27:$Z$56,"landbouw",N27:N56)</f>
        <v>30313.416666666668</v>
      </c>
      <c r="O60" s="634">
        <f t="shared" si="4"/>
        <v>43304.886422136427</v>
      </c>
      <c r="P60" s="634">
        <f t="shared" si="4"/>
        <v>86609.543114543121</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0.58823531559119824</v>
      </c>
      <c r="C97" s="654">
        <f>IF(ISERROR(N57/(O57+N57)),0,N57/(N57+O57))</f>
        <v>0.41176468440880176</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50809.220985696411</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72584.607843132428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55879.549692913126</v>
      </c>
      <c r="D10" s="718">
        <f ca="1">tertiair!C16</f>
        <v>18392.142857142859</v>
      </c>
      <c r="E10" s="718">
        <f ca="1">tertiair!D16</f>
        <v>22318.945155853347</v>
      </c>
      <c r="F10" s="718">
        <f>tertiair!E16</f>
        <v>741.09002179594574</v>
      </c>
      <c r="G10" s="718">
        <f ca="1">tertiair!F16</f>
        <v>7245.575305992912</v>
      </c>
      <c r="H10" s="718">
        <f>tertiair!G16</f>
        <v>0</v>
      </c>
      <c r="I10" s="718">
        <f>tertiair!H16</f>
        <v>0</v>
      </c>
      <c r="J10" s="718">
        <f>tertiair!I16</f>
        <v>0</v>
      </c>
      <c r="K10" s="718">
        <f>tertiair!J16</f>
        <v>4.8243577050563161E-2</v>
      </c>
      <c r="L10" s="718">
        <f>tertiair!K16</f>
        <v>0</v>
      </c>
      <c r="M10" s="718">
        <f ca="1">tertiair!L16</f>
        <v>0</v>
      </c>
      <c r="N10" s="718">
        <f>tertiair!M16</f>
        <v>0</v>
      </c>
      <c r="O10" s="718">
        <f ca="1">tertiair!N16</f>
        <v>1952.4338395671657</v>
      </c>
      <c r="P10" s="718">
        <f>tertiair!O16</f>
        <v>0</v>
      </c>
      <c r="Q10" s="719">
        <f>tertiair!P16</f>
        <v>114.4</v>
      </c>
      <c r="R10" s="721">
        <f ca="1">SUM(C10:Q10)</f>
        <v>106644.1851168424</v>
      </c>
      <c r="S10" s="67"/>
    </row>
    <row r="11" spans="1:19" s="474" customFormat="1">
      <c r="A11" s="870" t="s">
        <v>225</v>
      </c>
      <c r="B11" s="875"/>
      <c r="C11" s="718">
        <f>huishoudens!B8</f>
        <v>35614.462676118295</v>
      </c>
      <c r="D11" s="718">
        <f>huishoudens!C8</f>
        <v>0</v>
      </c>
      <c r="E11" s="718">
        <f>huishoudens!D8</f>
        <v>105719.31087625147</v>
      </c>
      <c r="F11" s="718">
        <f>huishoudens!E8</f>
        <v>1086.1971842261644</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9254.2525946780752</v>
      </c>
      <c r="P11" s="718">
        <f>huishoudens!O8</f>
        <v>275.1466666666667</v>
      </c>
      <c r="Q11" s="719">
        <f>huishoudens!P8</f>
        <v>1048.6666666666667</v>
      </c>
      <c r="R11" s="721">
        <f>SUM(C11:Q11)</f>
        <v>152998.03666460732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12297.105650810672</v>
      </c>
      <c r="D13" s="718">
        <f>industrie!C18</f>
        <v>0</v>
      </c>
      <c r="E13" s="718">
        <f>industrie!D18</f>
        <v>13183.918973472693</v>
      </c>
      <c r="F13" s="718">
        <f>industrie!E18</f>
        <v>1324.2549582013164</v>
      </c>
      <c r="G13" s="718">
        <f>industrie!F18</f>
        <v>4049.0614317717595</v>
      </c>
      <c r="H13" s="718">
        <f>industrie!G18</f>
        <v>0</v>
      </c>
      <c r="I13" s="718">
        <f>industrie!H18</f>
        <v>0</v>
      </c>
      <c r="J13" s="718">
        <f>industrie!I18</f>
        <v>0</v>
      </c>
      <c r="K13" s="718">
        <f>industrie!J18</f>
        <v>22.410298770671812</v>
      </c>
      <c r="L13" s="718">
        <f>industrie!K18</f>
        <v>0</v>
      </c>
      <c r="M13" s="718">
        <f>industrie!L18</f>
        <v>0</v>
      </c>
      <c r="N13" s="718">
        <f>industrie!M18</f>
        <v>0</v>
      </c>
      <c r="O13" s="718">
        <f>industrie!N18</f>
        <v>6467.673892995972</v>
      </c>
      <c r="P13" s="718">
        <f>industrie!O18</f>
        <v>0</v>
      </c>
      <c r="Q13" s="719">
        <f>industrie!P18</f>
        <v>0</v>
      </c>
      <c r="R13" s="721">
        <f>SUM(C13:Q13)</f>
        <v>37344.425206023087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103791.11801984209</v>
      </c>
      <c r="D15" s="723">
        <f t="shared" ref="D15:Q15" ca="1" si="0">SUM(D9:D14)</f>
        <v>18392.142857142859</v>
      </c>
      <c r="E15" s="723">
        <f t="shared" ca="1" si="0"/>
        <v>141222.1750055775</v>
      </c>
      <c r="F15" s="723">
        <f t="shared" si="0"/>
        <v>3151.5421642234269</v>
      </c>
      <c r="G15" s="723">
        <f t="shared" ca="1" si="0"/>
        <v>11294.636737764671</v>
      </c>
      <c r="H15" s="723">
        <f t="shared" si="0"/>
        <v>0</v>
      </c>
      <c r="I15" s="723">
        <f t="shared" si="0"/>
        <v>0</v>
      </c>
      <c r="J15" s="723">
        <f t="shared" si="0"/>
        <v>0</v>
      </c>
      <c r="K15" s="723">
        <f t="shared" si="0"/>
        <v>22.458542347722375</v>
      </c>
      <c r="L15" s="723">
        <f t="shared" si="0"/>
        <v>0</v>
      </c>
      <c r="M15" s="723">
        <f t="shared" ca="1" si="0"/>
        <v>0</v>
      </c>
      <c r="N15" s="723">
        <f t="shared" si="0"/>
        <v>0</v>
      </c>
      <c r="O15" s="723">
        <f t="shared" ca="1" si="0"/>
        <v>17674.360327241215</v>
      </c>
      <c r="P15" s="723">
        <f t="shared" si="0"/>
        <v>275.1466666666667</v>
      </c>
      <c r="Q15" s="724">
        <f t="shared" si="0"/>
        <v>1163.0666666666668</v>
      </c>
      <c r="R15" s="725">
        <f ca="1">SUM(R9:R14)</f>
        <v>296986.64698747284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1902.7335336825909</v>
      </c>
      <c r="I18" s="718">
        <f>transport!H54</f>
        <v>0</v>
      </c>
      <c r="J18" s="718">
        <f>transport!I54</f>
        <v>0</v>
      </c>
      <c r="K18" s="718">
        <f>transport!J54</f>
        <v>0</v>
      </c>
      <c r="L18" s="718">
        <f>transport!K54</f>
        <v>0</v>
      </c>
      <c r="M18" s="718">
        <f>transport!L54</f>
        <v>0</v>
      </c>
      <c r="N18" s="718">
        <f>transport!M54</f>
        <v>108.06686495064721</v>
      </c>
      <c r="O18" s="718">
        <f>transport!N54</f>
        <v>0</v>
      </c>
      <c r="P18" s="718">
        <f>transport!O54</f>
        <v>0</v>
      </c>
      <c r="Q18" s="719">
        <f>transport!P54</f>
        <v>0</v>
      </c>
      <c r="R18" s="721">
        <f>SUM(C18:Q18)</f>
        <v>2010.800398633238</v>
      </c>
      <c r="S18" s="67"/>
    </row>
    <row r="19" spans="1:19" s="474" customFormat="1" ht="15" thickBot="1">
      <c r="A19" s="870" t="s">
        <v>307</v>
      </c>
      <c r="B19" s="875"/>
      <c r="C19" s="727">
        <f>transport!B14</f>
        <v>155.19271991483816</v>
      </c>
      <c r="D19" s="727">
        <f>transport!C14</f>
        <v>0</v>
      </c>
      <c r="E19" s="727">
        <f>transport!D14</f>
        <v>508.54379657737553</v>
      </c>
      <c r="F19" s="727">
        <f>transport!E14</f>
        <v>776.72379984410304</v>
      </c>
      <c r="G19" s="727">
        <f>transport!F14</f>
        <v>0</v>
      </c>
      <c r="H19" s="727">
        <f>transport!G14</f>
        <v>332775.75233311765</v>
      </c>
      <c r="I19" s="727">
        <f>transport!H14</f>
        <v>58908.501723608613</v>
      </c>
      <c r="J19" s="727">
        <f>transport!I14</f>
        <v>0</v>
      </c>
      <c r="K19" s="727">
        <f>transport!J14</f>
        <v>0</v>
      </c>
      <c r="L19" s="727">
        <f>transport!K14</f>
        <v>0</v>
      </c>
      <c r="M19" s="727">
        <f>transport!L14</f>
        <v>0</v>
      </c>
      <c r="N19" s="727">
        <f>transport!M14</f>
        <v>21191.127982724738</v>
      </c>
      <c r="O19" s="727">
        <f>transport!N14</f>
        <v>0</v>
      </c>
      <c r="P19" s="727">
        <f>transport!O14</f>
        <v>0</v>
      </c>
      <c r="Q19" s="728">
        <f>transport!P14</f>
        <v>0</v>
      </c>
      <c r="R19" s="729">
        <f>SUM(C19:Q19)</f>
        <v>414315.84235578735</v>
      </c>
      <c r="S19" s="67"/>
    </row>
    <row r="20" spans="1:19" s="474" customFormat="1" ht="15.75" thickBot="1">
      <c r="A20" s="730" t="s">
        <v>230</v>
      </c>
      <c r="B20" s="878"/>
      <c r="C20" s="873">
        <f>SUM(C17:C19)</f>
        <v>155.19271991483816</v>
      </c>
      <c r="D20" s="731">
        <f t="shared" ref="D20:R20" si="1">SUM(D17:D19)</f>
        <v>0</v>
      </c>
      <c r="E20" s="731">
        <f t="shared" si="1"/>
        <v>508.54379657737553</v>
      </c>
      <c r="F20" s="731">
        <f t="shared" si="1"/>
        <v>776.72379984410304</v>
      </c>
      <c r="G20" s="731">
        <f t="shared" si="1"/>
        <v>0</v>
      </c>
      <c r="H20" s="731">
        <f t="shared" si="1"/>
        <v>334678.48586680024</v>
      </c>
      <c r="I20" s="731">
        <f t="shared" si="1"/>
        <v>58908.501723608613</v>
      </c>
      <c r="J20" s="731">
        <f t="shared" si="1"/>
        <v>0</v>
      </c>
      <c r="K20" s="731">
        <f t="shared" si="1"/>
        <v>0</v>
      </c>
      <c r="L20" s="731">
        <f t="shared" si="1"/>
        <v>0</v>
      </c>
      <c r="M20" s="731">
        <f t="shared" si="1"/>
        <v>0</v>
      </c>
      <c r="N20" s="731">
        <f t="shared" si="1"/>
        <v>21299.194847675386</v>
      </c>
      <c r="O20" s="731">
        <f t="shared" si="1"/>
        <v>0</v>
      </c>
      <c r="P20" s="731">
        <f t="shared" si="1"/>
        <v>0</v>
      </c>
      <c r="Q20" s="732">
        <f t="shared" si="1"/>
        <v>0</v>
      </c>
      <c r="R20" s="733">
        <f t="shared" si="1"/>
        <v>416326.64275442058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3052.0582871211163</v>
      </c>
      <c r="D22" s="727">
        <f>+landbouw!C8</f>
        <v>43304.886422136427</v>
      </c>
      <c r="E22" s="727">
        <f>+landbouw!D8</f>
        <v>0</v>
      </c>
      <c r="F22" s="727">
        <f>+landbouw!E8</f>
        <v>89.709315120464851</v>
      </c>
      <c r="G22" s="727">
        <f>+landbouw!F8</f>
        <v>12714.709899573243</v>
      </c>
      <c r="H22" s="727">
        <f>+landbouw!G8</f>
        <v>0</v>
      </c>
      <c r="I22" s="727">
        <f>+landbouw!H8</f>
        <v>0</v>
      </c>
      <c r="J22" s="727">
        <f>+landbouw!I8</f>
        <v>0</v>
      </c>
      <c r="K22" s="727">
        <f>+landbouw!J8</f>
        <v>442.17770210186251</v>
      </c>
      <c r="L22" s="727">
        <f>+landbouw!K8</f>
        <v>0</v>
      </c>
      <c r="M22" s="727">
        <f>+landbouw!L8</f>
        <v>0</v>
      </c>
      <c r="N22" s="727">
        <f>+landbouw!M8</f>
        <v>0</v>
      </c>
      <c r="O22" s="727">
        <f>+landbouw!N8</f>
        <v>0</v>
      </c>
      <c r="P22" s="727">
        <f>+landbouw!O8</f>
        <v>0</v>
      </c>
      <c r="Q22" s="728">
        <f>+landbouw!P8</f>
        <v>0</v>
      </c>
      <c r="R22" s="729">
        <f>SUM(C22:Q22)</f>
        <v>59603.54162605312</v>
      </c>
      <c r="S22" s="67"/>
    </row>
    <row r="23" spans="1:19" s="474" customFormat="1" ht="17.25" thickTop="1" thickBot="1">
      <c r="A23" s="734" t="s">
        <v>116</v>
      </c>
      <c r="B23" s="864"/>
      <c r="C23" s="735">
        <f ca="1">C20+C15+C22</f>
        <v>106998.36902687805</v>
      </c>
      <c r="D23" s="735">
        <f t="shared" ref="D23:Q23" ca="1" si="2">D20+D15+D22</f>
        <v>61697.02927927929</v>
      </c>
      <c r="E23" s="735">
        <f t="shared" ca="1" si="2"/>
        <v>141730.71880215488</v>
      </c>
      <c r="F23" s="735">
        <f t="shared" si="2"/>
        <v>4017.9752791879951</v>
      </c>
      <c r="G23" s="735">
        <f t="shared" ca="1" si="2"/>
        <v>24009.346637337912</v>
      </c>
      <c r="H23" s="735">
        <f t="shared" si="2"/>
        <v>334678.48586680024</v>
      </c>
      <c r="I23" s="735">
        <f t="shared" si="2"/>
        <v>58908.501723608613</v>
      </c>
      <c r="J23" s="735">
        <f t="shared" si="2"/>
        <v>0</v>
      </c>
      <c r="K23" s="735">
        <f t="shared" si="2"/>
        <v>464.63624444958486</v>
      </c>
      <c r="L23" s="735">
        <f t="shared" si="2"/>
        <v>0</v>
      </c>
      <c r="M23" s="735">
        <f t="shared" ca="1" si="2"/>
        <v>0</v>
      </c>
      <c r="N23" s="735">
        <f t="shared" si="2"/>
        <v>21299.194847675386</v>
      </c>
      <c r="O23" s="735">
        <f t="shared" ca="1" si="2"/>
        <v>17674.360327241215</v>
      </c>
      <c r="P23" s="735">
        <f t="shared" si="2"/>
        <v>275.1466666666667</v>
      </c>
      <c r="Q23" s="736">
        <f t="shared" si="2"/>
        <v>1163.0666666666668</v>
      </c>
      <c r="R23" s="737">
        <f ca="1">R20+R15+R22</f>
        <v>772916.83136794658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11734.708886964085</v>
      </c>
      <c r="D36" s="718">
        <f ca="1">tertiair!C20</f>
        <v>4370.8306775808514</v>
      </c>
      <c r="E36" s="718">
        <f ca="1">tertiair!D20</f>
        <v>4508.4269214823762</v>
      </c>
      <c r="F36" s="718">
        <f>tertiair!E20</f>
        <v>168.22743494767968</v>
      </c>
      <c r="G36" s="718">
        <f ca="1">tertiair!F20</f>
        <v>1934.5686067001077</v>
      </c>
      <c r="H36" s="718">
        <f>tertiair!G20</f>
        <v>0</v>
      </c>
      <c r="I36" s="718">
        <f>tertiair!H20</f>
        <v>0</v>
      </c>
      <c r="J36" s="718">
        <f>tertiair!I20</f>
        <v>0</v>
      </c>
      <c r="K36" s="718">
        <f>tertiair!J20</f>
        <v>1.7078226275899357E-2</v>
      </c>
      <c r="L36" s="718">
        <f>tertiair!K20</f>
        <v>0</v>
      </c>
      <c r="M36" s="718">
        <f ca="1">tertiair!L20</f>
        <v>0</v>
      </c>
      <c r="N36" s="718">
        <f>tertiair!M20</f>
        <v>0</v>
      </c>
      <c r="O36" s="718">
        <f ca="1">tertiair!N20</f>
        <v>0</v>
      </c>
      <c r="P36" s="718">
        <f>tertiair!O20</f>
        <v>0</v>
      </c>
      <c r="Q36" s="828">
        <f>tertiair!P20</f>
        <v>0</v>
      </c>
      <c r="R36" s="917">
        <f ca="1">SUM(C36:Q36)</f>
        <v>22716.779605901374</v>
      </c>
    </row>
    <row r="37" spans="1:18">
      <c r="A37" s="885" t="s">
        <v>225</v>
      </c>
      <c r="B37" s="892"/>
      <c r="C37" s="718">
        <f ca="1">huishoudens!B12</f>
        <v>7479.0393617452328</v>
      </c>
      <c r="D37" s="718">
        <f ca="1">huishoudens!C12</f>
        <v>0</v>
      </c>
      <c r="E37" s="718">
        <f>huishoudens!D12</f>
        <v>21355.300797002797</v>
      </c>
      <c r="F37" s="718">
        <f>huishoudens!E12</f>
        <v>246.56676081933932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29080.906919567369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2582.392946212402</v>
      </c>
      <c r="D39" s="718">
        <f ca="1">industrie!C22</f>
        <v>0</v>
      </c>
      <c r="E39" s="718">
        <f>industrie!D22</f>
        <v>2663.1516326414844</v>
      </c>
      <c r="F39" s="718">
        <f>industrie!E22</f>
        <v>300.60587551169886</v>
      </c>
      <c r="G39" s="718">
        <f>industrie!F22</f>
        <v>1081.0994022830598</v>
      </c>
      <c r="H39" s="718">
        <f>industrie!G22</f>
        <v>0</v>
      </c>
      <c r="I39" s="718">
        <f>industrie!H22</f>
        <v>0</v>
      </c>
      <c r="J39" s="718">
        <f>industrie!I22</f>
        <v>0</v>
      </c>
      <c r="K39" s="718">
        <f>industrie!J22</f>
        <v>7.933245764817821</v>
      </c>
      <c r="L39" s="718">
        <f>industrie!K22</f>
        <v>0</v>
      </c>
      <c r="M39" s="718">
        <f>industrie!L22</f>
        <v>0</v>
      </c>
      <c r="N39" s="718">
        <f>industrie!M22</f>
        <v>0</v>
      </c>
      <c r="O39" s="718">
        <f>industrie!N22</f>
        <v>0</v>
      </c>
      <c r="P39" s="718">
        <f>industrie!O22</f>
        <v>0</v>
      </c>
      <c r="Q39" s="828">
        <f>industrie!P22</f>
        <v>0</v>
      </c>
      <c r="R39" s="918">
        <f ca="1">SUM(C39:Q39)</f>
        <v>6635.1831024134635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21796.141194921722</v>
      </c>
      <c r="D41" s="763">
        <f t="shared" ref="D41:R41" ca="1" si="4">SUM(D35:D40)</f>
        <v>4370.8306775808514</v>
      </c>
      <c r="E41" s="763">
        <f t="shared" ca="1" si="4"/>
        <v>28526.879351126659</v>
      </c>
      <c r="F41" s="763">
        <f t="shared" si="4"/>
        <v>715.40007127871786</v>
      </c>
      <c r="G41" s="763">
        <f t="shared" ca="1" si="4"/>
        <v>3015.6680089831675</v>
      </c>
      <c r="H41" s="763">
        <f t="shared" si="4"/>
        <v>0</v>
      </c>
      <c r="I41" s="763">
        <f t="shared" si="4"/>
        <v>0</v>
      </c>
      <c r="J41" s="763">
        <f t="shared" si="4"/>
        <v>0</v>
      </c>
      <c r="K41" s="763">
        <f t="shared" si="4"/>
        <v>7.95032399109372</v>
      </c>
      <c r="L41" s="763">
        <f t="shared" si="4"/>
        <v>0</v>
      </c>
      <c r="M41" s="763">
        <f t="shared" ca="1" si="4"/>
        <v>0</v>
      </c>
      <c r="N41" s="763">
        <f t="shared" si="4"/>
        <v>0</v>
      </c>
      <c r="O41" s="763">
        <f t="shared" ca="1" si="4"/>
        <v>0</v>
      </c>
      <c r="P41" s="763">
        <f t="shared" si="4"/>
        <v>0</v>
      </c>
      <c r="Q41" s="764">
        <f t="shared" si="4"/>
        <v>0</v>
      </c>
      <c r="R41" s="765">
        <f t="shared" ca="1" si="4"/>
        <v>58432.86962788221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508.02985349325178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508.02985349325178</v>
      </c>
    </row>
    <row r="45" spans="1:18" ht="15" thickBot="1">
      <c r="A45" s="888" t="s">
        <v>307</v>
      </c>
      <c r="B45" s="898"/>
      <c r="C45" s="727">
        <f ca="1">transport!B18</f>
        <v>32.590480767738612</v>
      </c>
      <c r="D45" s="727">
        <f>transport!C18</f>
        <v>0</v>
      </c>
      <c r="E45" s="727">
        <f>transport!D18</f>
        <v>102.72584690862986</v>
      </c>
      <c r="F45" s="727">
        <f>transport!E18</f>
        <v>176.31630256461139</v>
      </c>
      <c r="G45" s="727">
        <f>transport!F18</f>
        <v>0</v>
      </c>
      <c r="H45" s="727">
        <f>transport!G18</f>
        <v>88851.125872942415</v>
      </c>
      <c r="I45" s="727">
        <f>transport!H18</f>
        <v>14668.216929178545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103830.97543236194</v>
      </c>
    </row>
    <row r="46" spans="1:18" ht="15.75" thickBot="1">
      <c r="A46" s="886" t="s">
        <v>230</v>
      </c>
      <c r="B46" s="899"/>
      <c r="C46" s="763">
        <f t="shared" ref="C46:R46" ca="1" si="5">SUM(C43:C45)</f>
        <v>32.590480767738612</v>
      </c>
      <c r="D46" s="763">
        <f t="shared" ca="1" si="5"/>
        <v>0</v>
      </c>
      <c r="E46" s="763">
        <f t="shared" si="5"/>
        <v>102.72584690862986</v>
      </c>
      <c r="F46" s="763">
        <f t="shared" si="5"/>
        <v>176.31630256461139</v>
      </c>
      <c r="G46" s="763">
        <f t="shared" si="5"/>
        <v>0</v>
      </c>
      <c r="H46" s="763">
        <f t="shared" si="5"/>
        <v>89359.155726435667</v>
      </c>
      <c r="I46" s="763">
        <f t="shared" si="5"/>
        <v>14668.216929178545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104339.00528585519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640.93242880865148</v>
      </c>
      <c r="D48" s="718">
        <f ca="1">+landbouw!C12</f>
        <v>10291.260106731899</v>
      </c>
      <c r="E48" s="718">
        <f>+landbouw!D12</f>
        <v>0</v>
      </c>
      <c r="F48" s="718">
        <f>+landbouw!E12</f>
        <v>20.364014532345522</v>
      </c>
      <c r="G48" s="718">
        <f>+landbouw!F12</f>
        <v>3394.8275431860561</v>
      </c>
      <c r="H48" s="718">
        <f>+landbouw!G12</f>
        <v>0</v>
      </c>
      <c r="I48" s="718">
        <f>+landbouw!H12</f>
        <v>0</v>
      </c>
      <c r="J48" s="718">
        <f>+landbouw!I12</f>
        <v>0</v>
      </c>
      <c r="K48" s="718">
        <f>+landbouw!J12</f>
        <v>156.53090654405932</v>
      </c>
      <c r="L48" s="718">
        <f>+landbouw!K12</f>
        <v>0</v>
      </c>
      <c r="M48" s="718">
        <f>+landbouw!L12</f>
        <v>0</v>
      </c>
      <c r="N48" s="718">
        <f>+landbouw!M12</f>
        <v>0</v>
      </c>
      <c r="O48" s="718">
        <f>+landbouw!N12</f>
        <v>0</v>
      </c>
      <c r="P48" s="718">
        <f>+landbouw!O12</f>
        <v>0</v>
      </c>
      <c r="Q48" s="719">
        <f>+landbouw!P12</f>
        <v>0</v>
      </c>
      <c r="R48" s="761">
        <f ca="1">SUM(C48:Q48)</f>
        <v>14503.914999803013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22469.664104498112</v>
      </c>
      <c r="D53" s="773">
        <f t="shared" ref="D53:Q53" ca="1" si="6">D41+D46+D48</f>
        <v>14662.09078431275</v>
      </c>
      <c r="E53" s="773">
        <f t="shared" ca="1" si="6"/>
        <v>28629.60519803529</v>
      </c>
      <c r="F53" s="773">
        <f t="shared" si="6"/>
        <v>912.08038837567483</v>
      </c>
      <c r="G53" s="773">
        <f t="shared" ca="1" si="6"/>
        <v>6410.4955521692236</v>
      </c>
      <c r="H53" s="773">
        <f t="shared" si="6"/>
        <v>89359.155726435667</v>
      </c>
      <c r="I53" s="773">
        <f t="shared" si="6"/>
        <v>14668.216929178545</v>
      </c>
      <c r="J53" s="773">
        <f t="shared" si="6"/>
        <v>0</v>
      </c>
      <c r="K53" s="773">
        <f t="shared" si="6"/>
        <v>164.48123053515303</v>
      </c>
      <c r="L53" s="773">
        <f t="shared" si="6"/>
        <v>0</v>
      </c>
      <c r="M53" s="773">
        <f t="shared" ca="1" si="6"/>
        <v>0</v>
      </c>
      <c r="N53" s="773">
        <f t="shared" si="6"/>
        <v>0</v>
      </c>
      <c r="O53" s="773">
        <f t="shared" ca="1" si="6"/>
        <v>0</v>
      </c>
      <c r="P53" s="773">
        <f>P41+P46+P48</f>
        <v>0</v>
      </c>
      <c r="Q53" s="774">
        <f t="shared" si="6"/>
        <v>0</v>
      </c>
      <c r="R53" s="775">
        <f ca="1">R41+R46+R48</f>
        <v>177275.78991354042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0.21000006176592953</v>
      </c>
      <c r="D55" s="836">
        <f t="shared" ca="1" si="7"/>
        <v>0.23764662505779605</v>
      </c>
      <c r="E55" s="836">
        <f t="shared" ca="1" si="7"/>
        <v>0.20200000000000004</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8578.771521354236</v>
      </c>
      <c r="C66" s="795">
        <f>'lokale energieproductie'!B6</f>
        <v>8578.771521354236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43187.916666666664</v>
      </c>
      <c r="C67" s="794">
        <f>B67*IFERROR(SUM(J67:L67)/SUM(D67:M67),0)</f>
        <v>0</v>
      </c>
      <c r="D67" s="826">
        <f>'lokale energieproductie'!C7</f>
        <v>50809.220985696411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10263.462639110676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51766.688188020897</v>
      </c>
      <c r="C69" s="803">
        <f>SUM(C64:C68)</f>
        <v>8578.771521354236</v>
      </c>
      <c r="D69" s="804">
        <f t="shared" ref="D69:M69" si="8">SUM(D67:D68)</f>
        <v>50809.220985696411</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10263.462639110676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61697.029279279282</v>
      </c>
      <c r="C78" s="817">
        <f>B78*IFERROR(SUM(I78:L78)/SUM(D78:M78),0)</f>
        <v>0</v>
      </c>
      <c r="D78" s="832">
        <f>'lokale energieproductie'!C16</f>
        <v>72584.607843132428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14662.090784312752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61697.029279279282</v>
      </c>
      <c r="C81" s="803">
        <f>SUM(C78:C80)</f>
        <v>0</v>
      </c>
      <c r="D81" s="803">
        <f t="shared" ref="D81:P81" si="9">SUM(D78:D80)</f>
        <v>72584.607843132428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14662.090784312752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35614.462676118295</v>
      </c>
      <c r="C4" s="478">
        <f>huishoudens!C8</f>
        <v>0</v>
      </c>
      <c r="D4" s="478">
        <f>huishoudens!D8</f>
        <v>105719.31087625147</v>
      </c>
      <c r="E4" s="478">
        <f>huishoudens!E8</f>
        <v>1086.1971842261644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9254.2525946780752</v>
      </c>
      <c r="O4" s="478">
        <f>huishoudens!O8</f>
        <v>275.1466666666667</v>
      </c>
      <c r="P4" s="479">
        <f>huishoudens!P8</f>
        <v>1048.6666666666667</v>
      </c>
      <c r="Q4" s="480">
        <f>SUM(B4:P4)</f>
        <v>152998.03666460732</v>
      </c>
    </row>
    <row r="5" spans="1:17">
      <c r="A5" s="477" t="s">
        <v>156</v>
      </c>
      <c r="B5" s="478">
        <f ca="1">tertiair!B16</f>
        <v>54476.159692913126</v>
      </c>
      <c r="C5" s="478">
        <f ca="1">tertiair!C16</f>
        <v>18392.142857142859</v>
      </c>
      <c r="D5" s="478">
        <f ca="1">tertiair!D16</f>
        <v>22318.945155853347</v>
      </c>
      <c r="E5" s="478">
        <f>tertiair!E16</f>
        <v>741.09002179594574</v>
      </c>
      <c r="F5" s="478">
        <f ca="1">tertiair!F16</f>
        <v>7245.575305992912</v>
      </c>
      <c r="G5" s="478">
        <f>tertiair!G16</f>
        <v>0</v>
      </c>
      <c r="H5" s="478">
        <f>tertiair!H16</f>
        <v>0</v>
      </c>
      <c r="I5" s="478">
        <f>tertiair!I16</f>
        <v>0</v>
      </c>
      <c r="J5" s="478">
        <f>tertiair!J16</f>
        <v>4.8243577050563161E-2</v>
      </c>
      <c r="K5" s="478">
        <f>tertiair!K16</f>
        <v>0</v>
      </c>
      <c r="L5" s="478">
        <f ca="1">tertiair!L16</f>
        <v>0</v>
      </c>
      <c r="M5" s="478">
        <f>tertiair!M16</f>
        <v>0</v>
      </c>
      <c r="N5" s="478">
        <f ca="1">tertiair!N16</f>
        <v>1952.4338395671657</v>
      </c>
      <c r="O5" s="478">
        <f>tertiair!O16</f>
        <v>0</v>
      </c>
      <c r="P5" s="479">
        <f>tertiair!P16</f>
        <v>114.4</v>
      </c>
      <c r="Q5" s="477">
        <f t="shared" ref="Q5:Q13" ca="1" si="0">SUM(B5:P5)</f>
        <v>105240.7951168424</v>
      </c>
    </row>
    <row r="6" spans="1:17">
      <c r="A6" s="477" t="s">
        <v>194</v>
      </c>
      <c r="B6" s="478">
        <f>'openbare verlichting'!B8</f>
        <v>1403.39</v>
      </c>
      <c r="C6" s="478"/>
      <c r="D6" s="478"/>
      <c r="E6" s="478"/>
      <c r="F6" s="478"/>
      <c r="G6" s="478"/>
      <c r="H6" s="478"/>
      <c r="I6" s="478"/>
      <c r="J6" s="478"/>
      <c r="K6" s="478"/>
      <c r="L6" s="478"/>
      <c r="M6" s="478"/>
      <c r="N6" s="478"/>
      <c r="O6" s="478"/>
      <c r="P6" s="479"/>
      <c r="Q6" s="477">
        <f t="shared" si="0"/>
        <v>1403.39</v>
      </c>
    </row>
    <row r="7" spans="1:17">
      <c r="A7" s="477" t="s">
        <v>112</v>
      </c>
      <c r="B7" s="478">
        <f>landbouw!B8</f>
        <v>3052.0582871211163</v>
      </c>
      <c r="C7" s="478">
        <f>landbouw!C8</f>
        <v>43304.886422136427</v>
      </c>
      <c r="D7" s="478">
        <f>landbouw!D8</f>
        <v>0</v>
      </c>
      <c r="E7" s="478">
        <f>landbouw!E8</f>
        <v>89.709315120464851</v>
      </c>
      <c r="F7" s="478">
        <f>landbouw!F8</f>
        <v>12714.709899573243</v>
      </c>
      <c r="G7" s="478">
        <f>landbouw!G8</f>
        <v>0</v>
      </c>
      <c r="H7" s="478">
        <f>landbouw!H8</f>
        <v>0</v>
      </c>
      <c r="I7" s="478">
        <f>landbouw!I8</f>
        <v>0</v>
      </c>
      <c r="J7" s="478">
        <f>landbouw!J8</f>
        <v>442.17770210186251</v>
      </c>
      <c r="K7" s="478">
        <f>landbouw!K8</f>
        <v>0</v>
      </c>
      <c r="L7" s="478">
        <f>landbouw!L8</f>
        <v>0</v>
      </c>
      <c r="M7" s="478">
        <f>landbouw!M8</f>
        <v>0</v>
      </c>
      <c r="N7" s="478">
        <f>landbouw!N8</f>
        <v>0</v>
      </c>
      <c r="O7" s="478">
        <f>landbouw!O8</f>
        <v>0</v>
      </c>
      <c r="P7" s="479">
        <f>landbouw!P8</f>
        <v>0</v>
      </c>
      <c r="Q7" s="477">
        <f t="shared" si="0"/>
        <v>59603.54162605312</v>
      </c>
    </row>
    <row r="8" spans="1:17">
      <c r="A8" s="477" t="s">
        <v>635</v>
      </c>
      <c r="B8" s="478">
        <f>industrie!B18</f>
        <v>12297.105650810672</v>
      </c>
      <c r="C8" s="478">
        <f>industrie!C18</f>
        <v>0</v>
      </c>
      <c r="D8" s="478">
        <f>industrie!D18</f>
        <v>13183.918973472693</v>
      </c>
      <c r="E8" s="478">
        <f>industrie!E18</f>
        <v>1324.2549582013164</v>
      </c>
      <c r="F8" s="478">
        <f>industrie!F18</f>
        <v>4049.0614317717595</v>
      </c>
      <c r="G8" s="478">
        <f>industrie!G18</f>
        <v>0</v>
      </c>
      <c r="H8" s="478">
        <f>industrie!H18</f>
        <v>0</v>
      </c>
      <c r="I8" s="478">
        <f>industrie!I18</f>
        <v>0</v>
      </c>
      <c r="J8" s="478">
        <f>industrie!J18</f>
        <v>22.410298770671812</v>
      </c>
      <c r="K8" s="478">
        <f>industrie!K18</f>
        <v>0</v>
      </c>
      <c r="L8" s="478">
        <f>industrie!L18</f>
        <v>0</v>
      </c>
      <c r="M8" s="478">
        <f>industrie!M18</f>
        <v>0</v>
      </c>
      <c r="N8" s="478">
        <f>industrie!N18</f>
        <v>6467.673892995972</v>
      </c>
      <c r="O8" s="478">
        <f>industrie!O18</f>
        <v>0</v>
      </c>
      <c r="P8" s="479">
        <f>industrie!P18</f>
        <v>0</v>
      </c>
      <c r="Q8" s="477">
        <f t="shared" si="0"/>
        <v>37344.425206023087</v>
      </c>
    </row>
    <row r="9" spans="1:17" s="483" customFormat="1">
      <c r="A9" s="481" t="s">
        <v>561</v>
      </c>
      <c r="B9" s="482">
        <f>transport!B14</f>
        <v>155.19271991483816</v>
      </c>
      <c r="C9" s="482"/>
      <c r="D9" s="482">
        <f>transport!D14</f>
        <v>508.54379657737553</v>
      </c>
      <c r="E9" s="482">
        <f>transport!E14</f>
        <v>776.72379984410304</v>
      </c>
      <c r="F9" s="482"/>
      <c r="G9" s="482">
        <f>transport!G14</f>
        <v>332775.75233311765</v>
      </c>
      <c r="H9" s="482">
        <f>transport!H14</f>
        <v>58908.501723608613</v>
      </c>
      <c r="I9" s="482"/>
      <c r="J9" s="482"/>
      <c r="K9" s="482"/>
      <c r="L9" s="482"/>
      <c r="M9" s="482">
        <f>transport!M14</f>
        <v>21191.127982724738</v>
      </c>
      <c r="N9" s="482"/>
      <c r="O9" s="482"/>
      <c r="P9" s="482"/>
      <c r="Q9" s="481">
        <f>SUM(B9:P9)</f>
        <v>414315.84235578735</v>
      </c>
    </row>
    <row r="10" spans="1:17">
      <c r="A10" s="477" t="s">
        <v>551</v>
      </c>
      <c r="B10" s="478">
        <f>transport!B54</f>
        <v>0</v>
      </c>
      <c r="C10" s="478"/>
      <c r="D10" s="478">
        <f>transport!D54</f>
        <v>0</v>
      </c>
      <c r="E10" s="478"/>
      <c r="F10" s="478"/>
      <c r="G10" s="478">
        <f>transport!G54</f>
        <v>1902.7335336825909</v>
      </c>
      <c r="H10" s="478"/>
      <c r="I10" s="478"/>
      <c r="J10" s="478"/>
      <c r="K10" s="478"/>
      <c r="L10" s="478"/>
      <c r="M10" s="478">
        <f>transport!M54</f>
        <v>108.06686495064721</v>
      </c>
      <c r="N10" s="478"/>
      <c r="O10" s="478"/>
      <c r="P10" s="479"/>
      <c r="Q10" s="477">
        <f t="shared" si="0"/>
        <v>2010.800398633238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106998.36902687805</v>
      </c>
      <c r="C14" s="488">
        <f t="shared" ref="C14:Q14" ca="1" si="1">SUM(C4:C13)</f>
        <v>61697.02927927929</v>
      </c>
      <c r="D14" s="488">
        <f t="shared" ca="1" si="1"/>
        <v>141730.71880215488</v>
      </c>
      <c r="E14" s="488">
        <f t="shared" si="1"/>
        <v>4017.9752791879946</v>
      </c>
      <c r="F14" s="488">
        <f t="shared" ca="1" si="1"/>
        <v>24009.346637337916</v>
      </c>
      <c r="G14" s="488">
        <f t="shared" si="1"/>
        <v>334678.48586680024</v>
      </c>
      <c r="H14" s="488">
        <f t="shared" si="1"/>
        <v>58908.501723608613</v>
      </c>
      <c r="I14" s="488">
        <f t="shared" si="1"/>
        <v>0</v>
      </c>
      <c r="J14" s="488">
        <f t="shared" si="1"/>
        <v>464.63624444958492</v>
      </c>
      <c r="K14" s="488">
        <f t="shared" si="1"/>
        <v>0</v>
      </c>
      <c r="L14" s="488">
        <f t="shared" ca="1" si="1"/>
        <v>0</v>
      </c>
      <c r="M14" s="488">
        <f t="shared" si="1"/>
        <v>21299.194847675386</v>
      </c>
      <c r="N14" s="488">
        <f t="shared" ca="1" si="1"/>
        <v>17674.360327241215</v>
      </c>
      <c r="O14" s="488">
        <f t="shared" si="1"/>
        <v>275.1466666666667</v>
      </c>
      <c r="P14" s="489">
        <f t="shared" si="1"/>
        <v>1163.0666666666668</v>
      </c>
      <c r="Q14" s="489">
        <f t="shared" ca="1" si="1"/>
        <v>772916.83136794658</v>
      </c>
    </row>
    <row r="16" spans="1:17">
      <c r="A16" s="491" t="s">
        <v>556</v>
      </c>
      <c r="B16" s="841">
        <f ca="1">huishoudens!B10</f>
        <v>0.2100000617659295</v>
      </c>
      <c r="C16" s="841">
        <f ca="1">huishoudens!C10</f>
        <v>0.23764662505779607</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7479.0393617452328</v>
      </c>
      <c r="C21" s="478">
        <f t="shared" ref="C21:C28" ca="1" si="3">C4*$C$16</f>
        <v>0</v>
      </c>
      <c r="D21" s="478">
        <f t="shared" ref="D21:D30" si="4">D4*$D$16</f>
        <v>21355.300797002797</v>
      </c>
      <c r="E21" s="478">
        <f t="shared" ref="E21:E30" si="5">E4*$E$16</f>
        <v>246.56676081933932</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29080.906919567369</v>
      </c>
    </row>
    <row r="22" spans="1:17">
      <c r="A22" s="477" t="s">
        <v>156</v>
      </c>
      <c r="B22" s="478">
        <f t="shared" ca="1" si="2"/>
        <v>11439.996900282396</v>
      </c>
      <c r="C22" s="478">
        <f t="shared" ca="1" si="3"/>
        <v>4370.8306775808514</v>
      </c>
      <c r="D22" s="478">
        <f t="shared" ca="1" si="4"/>
        <v>4508.4269214823762</v>
      </c>
      <c r="E22" s="478">
        <f t="shared" si="5"/>
        <v>168.22743494767968</v>
      </c>
      <c r="F22" s="478">
        <f t="shared" ca="1" si="6"/>
        <v>1934.5686067001077</v>
      </c>
      <c r="G22" s="478">
        <f t="shared" si="7"/>
        <v>0</v>
      </c>
      <c r="H22" s="478">
        <f t="shared" si="8"/>
        <v>0</v>
      </c>
      <c r="I22" s="478">
        <f t="shared" si="9"/>
        <v>0</v>
      </c>
      <c r="J22" s="478">
        <f t="shared" si="10"/>
        <v>1.7078226275899357E-2</v>
      </c>
      <c r="K22" s="478">
        <f t="shared" si="11"/>
        <v>0</v>
      </c>
      <c r="L22" s="478">
        <f t="shared" ca="1" si="12"/>
        <v>0</v>
      </c>
      <c r="M22" s="478">
        <f t="shared" si="13"/>
        <v>0</v>
      </c>
      <c r="N22" s="478">
        <f t="shared" ca="1" si="14"/>
        <v>0</v>
      </c>
      <c r="O22" s="478">
        <f t="shared" si="15"/>
        <v>0</v>
      </c>
      <c r="P22" s="479">
        <f t="shared" si="16"/>
        <v>0</v>
      </c>
      <c r="Q22" s="477">
        <f t="shared" ref="Q22:Q30" ca="1" si="17">SUM(B22:P22)</f>
        <v>22422.067619219688</v>
      </c>
    </row>
    <row r="23" spans="1:17">
      <c r="A23" s="477" t="s">
        <v>194</v>
      </c>
      <c r="B23" s="478">
        <f t="shared" ca="1" si="2"/>
        <v>294.71198668168785</v>
      </c>
      <c r="C23" s="478"/>
      <c r="D23" s="478"/>
      <c r="E23" s="478"/>
      <c r="F23" s="478"/>
      <c r="G23" s="478"/>
      <c r="H23" s="478"/>
      <c r="I23" s="478"/>
      <c r="J23" s="478"/>
      <c r="K23" s="478"/>
      <c r="L23" s="478"/>
      <c r="M23" s="478"/>
      <c r="N23" s="478"/>
      <c r="O23" s="478"/>
      <c r="P23" s="479"/>
      <c r="Q23" s="477">
        <f t="shared" ca="1" si="17"/>
        <v>294.71198668168785</v>
      </c>
    </row>
    <row r="24" spans="1:17">
      <c r="A24" s="477" t="s">
        <v>112</v>
      </c>
      <c r="B24" s="478">
        <f t="shared" ca="1" si="2"/>
        <v>640.93242880865148</v>
      </c>
      <c r="C24" s="478">
        <f t="shared" ca="1" si="3"/>
        <v>10291.260106731899</v>
      </c>
      <c r="D24" s="478">
        <f t="shared" si="4"/>
        <v>0</v>
      </c>
      <c r="E24" s="478">
        <f t="shared" si="5"/>
        <v>20.364014532345522</v>
      </c>
      <c r="F24" s="478">
        <f t="shared" si="6"/>
        <v>3394.8275431860561</v>
      </c>
      <c r="G24" s="478">
        <f t="shared" si="7"/>
        <v>0</v>
      </c>
      <c r="H24" s="478">
        <f t="shared" si="8"/>
        <v>0</v>
      </c>
      <c r="I24" s="478">
        <f t="shared" si="9"/>
        <v>0</v>
      </c>
      <c r="J24" s="478">
        <f t="shared" si="10"/>
        <v>156.53090654405932</v>
      </c>
      <c r="K24" s="478">
        <f t="shared" si="11"/>
        <v>0</v>
      </c>
      <c r="L24" s="478">
        <f t="shared" si="12"/>
        <v>0</v>
      </c>
      <c r="M24" s="478">
        <f t="shared" si="13"/>
        <v>0</v>
      </c>
      <c r="N24" s="478">
        <f t="shared" si="14"/>
        <v>0</v>
      </c>
      <c r="O24" s="478">
        <f t="shared" si="15"/>
        <v>0</v>
      </c>
      <c r="P24" s="479">
        <f t="shared" si="16"/>
        <v>0</v>
      </c>
      <c r="Q24" s="477">
        <f t="shared" ca="1" si="17"/>
        <v>14503.914999803013</v>
      </c>
    </row>
    <row r="25" spans="1:17">
      <c r="A25" s="477" t="s">
        <v>635</v>
      </c>
      <c r="B25" s="478">
        <f t="shared" ca="1" si="2"/>
        <v>2582.392946212402</v>
      </c>
      <c r="C25" s="478">
        <f t="shared" ca="1" si="3"/>
        <v>0</v>
      </c>
      <c r="D25" s="478">
        <f t="shared" si="4"/>
        <v>2663.1516326414844</v>
      </c>
      <c r="E25" s="478">
        <f t="shared" si="5"/>
        <v>300.60587551169886</v>
      </c>
      <c r="F25" s="478">
        <f t="shared" si="6"/>
        <v>1081.0994022830598</v>
      </c>
      <c r="G25" s="478">
        <f t="shared" si="7"/>
        <v>0</v>
      </c>
      <c r="H25" s="478">
        <f t="shared" si="8"/>
        <v>0</v>
      </c>
      <c r="I25" s="478">
        <f t="shared" si="9"/>
        <v>0</v>
      </c>
      <c r="J25" s="478">
        <f t="shared" si="10"/>
        <v>7.933245764817821</v>
      </c>
      <c r="K25" s="478">
        <f t="shared" si="11"/>
        <v>0</v>
      </c>
      <c r="L25" s="478">
        <f t="shared" si="12"/>
        <v>0</v>
      </c>
      <c r="M25" s="478">
        <f t="shared" si="13"/>
        <v>0</v>
      </c>
      <c r="N25" s="478">
        <f t="shared" si="14"/>
        <v>0</v>
      </c>
      <c r="O25" s="478">
        <f t="shared" si="15"/>
        <v>0</v>
      </c>
      <c r="P25" s="479">
        <f t="shared" si="16"/>
        <v>0</v>
      </c>
      <c r="Q25" s="477">
        <f t="shared" ca="1" si="17"/>
        <v>6635.1831024134635</v>
      </c>
    </row>
    <row r="26" spans="1:17" s="483" customFormat="1">
      <c r="A26" s="481" t="s">
        <v>561</v>
      </c>
      <c r="B26" s="835">
        <f t="shared" ca="1" si="2"/>
        <v>32.590480767738612</v>
      </c>
      <c r="C26" s="482"/>
      <c r="D26" s="482">
        <f t="shared" si="4"/>
        <v>102.72584690862986</v>
      </c>
      <c r="E26" s="482">
        <f t="shared" si="5"/>
        <v>176.31630256461139</v>
      </c>
      <c r="F26" s="482"/>
      <c r="G26" s="482">
        <f t="shared" si="7"/>
        <v>88851.125872942415</v>
      </c>
      <c r="H26" s="482">
        <f t="shared" si="8"/>
        <v>14668.216929178545</v>
      </c>
      <c r="I26" s="482"/>
      <c r="J26" s="482"/>
      <c r="K26" s="482"/>
      <c r="L26" s="482"/>
      <c r="M26" s="482">
        <f t="shared" si="13"/>
        <v>0</v>
      </c>
      <c r="N26" s="482"/>
      <c r="O26" s="482"/>
      <c r="P26" s="493"/>
      <c r="Q26" s="481">
        <f t="shared" ca="1" si="17"/>
        <v>103830.97543236194</v>
      </c>
    </row>
    <row r="27" spans="1:17">
      <c r="A27" s="477" t="s">
        <v>551</v>
      </c>
      <c r="B27" s="478">
        <f t="shared" ca="1" si="2"/>
        <v>0</v>
      </c>
      <c r="C27" s="478"/>
      <c r="D27" s="482">
        <f t="shared" si="4"/>
        <v>0</v>
      </c>
      <c r="E27" s="478"/>
      <c r="F27" s="478"/>
      <c r="G27" s="478">
        <f t="shared" si="7"/>
        <v>508.02985349325178</v>
      </c>
      <c r="H27" s="478"/>
      <c r="I27" s="478"/>
      <c r="J27" s="478"/>
      <c r="K27" s="478"/>
      <c r="L27" s="478"/>
      <c r="M27" s="478">
        <f t="shared" si="13"/>
        <v>0</v>
      </c>
      <c r="N27" s="478"/>
      <c r="O27" s="478"/>
      <c r="P27" s="479"/>
      <c r="Q27" s="477">
        <f t="shared" ca="1" si="17"/>
        <v>508.02985349325178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22469.664104498108</v>
      </c>
      <c r="C31" s="488">
        <f t="shared" ca="1" si="18"/>
        <v>14662.09078431275</v>
      </c>
      <c r="D31" s="488">
        <f t="shared" ca="1" si="18"/>
        <v>28629.60519803529</v>
      </c>
      <c r="E31" s="488">
        <f t="shared" si="18"/>
        <v>912.08038837567483</v>
      </c>
      <c r="F31" s="488">
        <f t="shared" ca="1" si="18"/>
        <v>6410.4955521692236</v>
      </c>
      <c r="G31" s="488">
        <f t="shared" si="18"/>
        <v>89359.155726435667</v>
      </c>
      <c r="H31" s="488">
        <f t="shared" si="18"/>
        <v>14668.216929178545</v>
      </c>
      <c r="I31" s="488">
        <f t="shared" si="18"/>
        <v>0</v>
      </c>
      <c r="J31" s="488">
        <f t="shared" si="18"/>
        <v>164.48123053515306</v>
      </c>
      <c r="K31" s="488">
        <f t="shared" si="18"/>
        <v>0</v>
      </c>
      <c r="L31" s="488">
        <f t="shared" ca="1" si="18"/>
        <v>0</v>
      </c>
      <c r="M31" s="488">
        <f t="shared" si="18"/>
        <v>0</v>
      </c>
      <c r="N31" s="488">
        <f t="shared" ca="1" si="18"/>
        <v>0</v>
      </c>
      <c r="O31" s="488">
        <f t="shared" si="18"/>
        <v>0</v>
      </c>
      <c r="P31" s="489">
        <f t="shared" si="18"/>
        <v>0</v>
      </c>
      <c r="Q31" s="489">
        <f t="shared" ca="1" si="18"/>
        <v>177275.78991354042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0.2100000617659295</v>
      </c>
      <c r="C17" s="528">
        <f ca="1">'EF ele_warmte'!B22</f>
        <v>0.23764662505779607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0.2100000617659295</v>
      </c>
      <c r="C17" s="528">
        <f ca="1">'EF ele_warmte'!B22</f>
        <v>0.23764662505779607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0.2100000617659295</v>
      </c>
      <c r="C29" s="529">
        <f ca="1">'EF ele_warmte'!B22</f>
        <v>0.23764662505779607</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2019-01-01T21:17:01Z</dcterms:modified>
</cp:coreProperties>
</file>