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J67"/>
  <c r="B22" i="6"/>
  <c r="C29" i="20" s="1"/>
  <c r="J5" i="48"/>
  <c r="J22" s="1"/>
  <c r="P55" i="14"/>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C18" i="15" l="1"/>
  <c r="C20" s="1"/>
  <c r="D36" i="14" s="1"/>
  <c r="C20" i="16"/>
  <c r="C22" s="1"/>
  <c r="D39" i="14" s="1"/>
  <c r="Q5" i="48"/>
  <c r="C10" i="13"/>
  <c r="C16" i="48"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N55" i="14"/>
  <c r="H55"/>
  <c r="E55"/>
  <c r="C78"/>
  <c r="C81" s="1"/>
  <c r="J14" i="48"/>
  <c r="R19" i="14"/>
  <c r="R20" s="1"/>
  <c r="H14" i="48"/>
  <c r="G31"/>
  <c r="H26"/>
  <c r="H31" s="1"/>
  <c r="M53" i="14"/>
  <c r="M55" s="1"/>
  <c r="C12" i="13"/>
  <c r="D37" i="14" s="1"/>
  <c r="D41" s="1"/>
  <c r="F25" i="48"/>
  <c r="F31" s="1"/>
  <c r="F14"/>
  <c r="E14" l="1"/>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<sst xmlns="http://schemas.openxmlformats.org/spreadsheetml/2006/main" count="2117" uniqueCount="853">
  <si>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</si>
  <si>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</si>
  <si>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</si>
  <si>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</si>
  <si>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</si>
  <si>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</si>
  <si>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</si>
  <si>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</si>
  <si>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</si>
  <si>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</si>
  <si>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</si>
  <si>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</si>
  <si>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</si>
  <si>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</si>
  <si>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</si>
  <si>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</si>
  <si>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</si>
  <si>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</si>
  <si>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</si>
  <si>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</si>
  <si>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</si>
  <si>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</si>
  <si>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</si>
  <si>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</si>
  <si>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</si>
  <si>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</si>
  <si>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</si>
  <si>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</si>
  <si>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</si>
  <si>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</si>
  <si>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</si>
  <si>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</si>
  <si>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</si>
  <si>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</si>
  <si>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</si>
  <si>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</si>
  <si>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</si>
  <si>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</si>
  <si>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</si>
  <si>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</si>
  <si>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</si>
  <si>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</si>
  <si>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</si>
  <si>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</si>
  <si>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</si>
  <si>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</si>
  <si>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</si>
  <si>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</si>
  <si>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</si>
  <si>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</si>
  <si>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</si>
  <si>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</si>
  <si>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</si>
  <si>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</si>
  <si>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</si>
  <si>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</si>
  <si>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</si>
  <si>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</si>
  <si>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</si>
  <si>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</si>
  <si>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</si>
  <si>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</si>
  <si>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</si>
  <si>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</si>
  <si>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</si>
  <si>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</si>
  <si>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</si>
  <si>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</si>
  <si>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</si>
  <si>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</si>
  <si>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</si>
  <si>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</si>
  <si>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</si>
  <si>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</si>
  <si>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</si>
  <si>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</si>
  <si>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</si>
  <si>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</si>
  <si>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</si>
  <si>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</si>
  <si>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</si>
  <si>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</si>
  <si>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</si>
  <si>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</si>
  <si>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</si>
  <si>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</si>
  <si>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</si>
  <si>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</si>
  <si>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</si>
  <si>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</si>
  <si>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</si>
  <si>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</si>
  <si>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</si>
  <si>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</si>
  <si>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</si>
  <si>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</si>
  <si>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</si>
  <si>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</si>
  <si>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</si>
  <si>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</si>
  <si>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</si>
  <si>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</si>
  <si>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</si>
  <si>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</si>
  <si>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</si>
  <si>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</si>
  <si>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</si>
  <si>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</si>
  <si>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</si>
  <si>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</si>
  <si>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</si>
  <si>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</si>
  <si>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</si>
  <si>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</si>
  <si>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</si>
  <si>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</si>
  <si>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</si>
  <si>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</si>
  <si>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</si>
  <si>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</si>
  <si>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</si>
  <si>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</si>
  <si>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</si>
  <si>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</si>
  <si>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</si>
  <si>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</si>
  <si>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</si>
  <si>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</si>
  <si>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</si>
  <si>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</si>
  <si>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</si>
  <si>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</si>
  <si>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</si>
  <si>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</si>
  <si>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</si>
  <si>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</si>
  <si>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</si>
  <si>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</si>
  <si>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</si>
  <si>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</si>
  <si>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</si>
  <si>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</si>
  <si>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</si>
  <si>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</si>
  <si>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</si>
  <si>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</si>
  <si>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</si>
  <si>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</si>
  <si>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</si>
  <si>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</si>
  <si>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</si>
  <si>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</si>
  <si>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</si>
  <si>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</si>
  <si>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</si>
  <si>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</si>
  <si>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</si>
  <si>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</si>
  <si>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</si>
  <si>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</si>
  <si>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</si>
  <si>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</si>
  <si>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</si>
  <si>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</si>
  <si>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</si>
  <si>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</si>
  <si>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</si>
  <si>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</si>
  <si>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</si>
  <si>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</si>
  <si>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</si>
  <si>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</si>
  <si>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</si>
  <si>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</si>
  <si>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</si>
  <si>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</si>
  <si>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</si>
  <si>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</si>
  <si>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</si>
  <si>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</si>
  <si>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</si>
  <si>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</si>
  <si>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</si>
  <si>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</si>
  <si>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</si>
  <si>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</si>
  <si>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</si>
  <si>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</si>
  <si>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</si>
  <si>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</si>
  <si>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</si>
  <si>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</si>
  <si>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</si>
  <si>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</si>
  <si>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</si>
  <si>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</si>
  <si>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</si>
  <si>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</si>
  <si>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</si>
  <si>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</si>
  <si>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</si>
  <si>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</si>
  <si>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</si>
  <si>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</si>
  <si>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</si>
  <si>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</si>
  <si>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</si>
  <si>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</si>
  <si>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</si>
  <si>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</si>
  <si>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</si>
  <si>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</si>
  <si>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</si>
  <si>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</si>
  <si>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</si>
  <si>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</si>
  <si>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</si>
  <si>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</si>
  <si>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</si>
  <si>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</si>
  <si>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</si>
  <si>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</si>
  <si>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</si>
  <si>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</si>
  <si>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</si>
  <si>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</si>
  <si>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</si>
  <si>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</si>
  <si>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</si>
  <si>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</si>
  <si>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</si>
  <si>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</si>
  <si>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</si>
  <si>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</si>
  <si>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</si>
  <si>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</si>
  <si>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</si>
  <si>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</si>
  <si>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</si>
  <si>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</si>
  <si>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</si>
  <si>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</si>
  <si>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</si>
  <si>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</si>
  <si>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</si>
  <si>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</si>
  <si>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</si>
  <si>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</si>
  <si>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</si>
  <si>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</si>
  <si>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</si>
  <si>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</si>
  <si>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</si>
  <si>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</si>
  <si>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</si>
  <si>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</si>
  <si>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</si>
  <si>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</si>
  <si>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</si>
  <si>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</si>
  <si>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</si>
  <si>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</si>
  <si>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</si>
  <si>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</si>
  <si>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</si>
  <si>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</si>
  <si>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</si>
  <si>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</si>
  <si>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</si>
  <si>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</si>
  <si>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</si>
  <si>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</si>
  <si>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</si>
  <si>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</si>
  <si>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</si>
  <si>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</si>
  <si>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</si>
  <si>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</si>
  <si>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</si>
  <si>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</si>
  <si>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</si>
  <si>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</si>
  <si>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</si>
  <si>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</si>
  <si>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</si>
  <si>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</si>
  <si>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</si>
  <si>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</si>
  <si>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</si>
  <si>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</si>
  <si>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</si>
  <si>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</si>
  <si>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</si>
  <si>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</si>
  <si>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</si>
  <si>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</si>
  <si>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</si>
  <si>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</si>
  <si>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</si>
  <si>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</si>
  <si>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</si>
  <si>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</si>
  <si>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</si>
  <si>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</si>
  <si>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</si>
  <si>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</si>
  <si>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</si>
  <si>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</si>
  <si>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</si>
  <si>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</si>
  <si>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</si>
  <si>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</si>
  <si>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</si>
  <si>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</si>
  <si>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</si>
  <si>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</si>
  <si>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</si>
  <si>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</si>
  <si>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</si>
  <si>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</si>
  <si>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</si>
  <si>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</si>
  <si>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</si>
  <si>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</si>
  <si>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</si>
  <si>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</si>
  <si>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</si>
  <si>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</si>
  <si>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</si>
  <si>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</si>
  <si>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</si>
  <si>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</si>
  <si>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</si>
  <si>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</si>
  <si>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</si>
  <si>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</si>
  <si>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</si>
  <si>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</si>
  <si>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</si>
  <si>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</si>
  <si>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</si>
  <si>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</si>
  <si>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</si>
  <si>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</si>
  <si>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</si>
  <si>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</si>
  <si>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</si>
  <si>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</si>
  <si>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</si>
  <si>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</si>
  <si>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</si>
  <si>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</si>
  <si>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</si>
  <si>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</si>
  <si>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</si>
  <si>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</si>
  <si>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</si>
  <si>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</si>
  <si>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</si>
  <si>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</si>
  <si>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</si>
  <si>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</si>
  <si>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</si>
  <si>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</si>
  <si>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</si>
  <si>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</si>
  <si>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</si>
  <si>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</si>
  <si>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</si>
  <si>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</si>
  <si>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</si>
  <si>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</si>
  <si>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</si>
  <si>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</si>
  <si>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</si>
  <si>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</si>
  <si>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</si>
  <si>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</si>
  <si>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</si>
  <si>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</si>
  <si>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</si>
  <si>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</si>
  <si>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</si>
  <si>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</si>
  <si>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</si>
  <si>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</si>
  <si>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</si>
  <si>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</si>
  <si>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</si>
  <si>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</si>
  <si>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</si>
  <si>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</si>
  <si>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</si>
  <si>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</si>
  <si>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</si>
  <si>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</si>
  <si>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</si>
  <si>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</si>
  <si>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</si>
  <si>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</si>
  <si>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</si>
  <si>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</si>
  <si>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</si>
  <si>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</si>
  <si>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</si>
  <si>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</si>
  <si>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</si>
  <si>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</si>
  <si>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</si>
  <si>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</si>
  <si>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</si>
  <si>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</si>
  <si>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</si>
  <si>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</si>
  <si>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</si>
  <si>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</si>
  <si>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</si>
  <si>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</si>
  <si>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</si>
  <si>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</si>
  <si>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</si>
  <si>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</si>
  <si>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</si>
  <si>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</si>
  <si>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</si>
  <si>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</si>
  <si>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</si>
  <si>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</si>
  <si>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</si>
  <si>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</si>
  <si>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</si>
  <si>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</si>
  <si>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</si>
  <si>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</si>
  <si>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</si>
  <si>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</si>
  <si>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</si>
  <si>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</si>
  <si>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</si>
  <si>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</si>
  <si>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</si>
  <si>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</si>
  <si>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</si>
  <si>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</si>
  <si>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</si>
  <si>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</si>
  <si>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</si>
  <si>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</si>
  <si>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</si>
  <si>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</si>
  <si>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</si>
  <si>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</si>
  <si>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</si>
  <si>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</si>
  <si>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</si>
  <si>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</si>
  <si>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</si>
  <si>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</si>
  <si>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</si>
  <si>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</si>
  <si>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</si>
  <si>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</si>
  <si>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</si>
  <si>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</si>
  <si>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</si>
  <si>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</si>
  <si>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</si>
  <si>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</si>
  <si>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</si>
  <si>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</si>
  <si>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</si>
  <si>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</si>
  <si>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</si>
  <si>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</si>
  <si>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</si>
  <si>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</si>
  <si>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</si>
  <si>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</si>
  <si>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</si>
  <si>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</si>
  <si>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</si>
  <si>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</si>
  <si>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</si>
  <si>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</si>
  <si>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</si>
  <si>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</si>
  <si>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</si>
  <si>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</si>
  <si>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</si>
  <si>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</si>
  <si>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</si>
  <si>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</si>
  <si>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</si>
  <si>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</si>
  <si>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</si>
  <si>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</si>
  <si>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</si>
  <si>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</si>
  <si>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</si>
  <si>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</si>
  <si>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</si>
  <si>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</si>
  <si>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</si>
  <si>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</si>
  <si>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</si>
  <si>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</si>
  <si>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</si>
  <si>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</si>
  <si>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</si>
  <si>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</si>
  <si>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</si>
  <si>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</si>
  <si>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</si>
  <si>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</si>
  <si>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</si>
  <si>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</si>
  <si>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</si>
  <si>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</si>
  <si>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</si>
  <si>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</si>
  <si>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</si>
  <si>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</si>
  <si>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</si>
  <si>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</si>
  <si>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</si>
  <si>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</si>
  <si>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</si>
  <si>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</si>
  <si>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</si>
  <si>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</si>
  <si>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</si>
  <si>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</si>
  <si>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</si>
  <si>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</si>
  <si>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</si>
  <si>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</si>
  <si>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</si>
  <si>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</si>
  <si>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</si>
  <si>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</si>
  <si>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</si>
  <si>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</si>
  <si>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</si>
  <si>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</si>
  <si>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</si>
  <si>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</si>
  <si>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</si>
  <si>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</si>
  <si>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</si>
  <si>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</si>
  <si>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</si>
  <si>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</si>
  <si>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</si>
  <si>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</si>
  <si>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</si>
  <si>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</si>
  <si>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</si>
  <si>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</si>
  <si>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</si>
  <si>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</si>
  <si>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</si>
  <si>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</si>
  <si>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</si>
  <si>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</si>
  <si>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</si>
  <si>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</si>
  <si>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</si>
  <si>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</si>
  <si>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</si>
  <si>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</si>
  <si>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</si>
  <si>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</si>
  <si>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</si>
  <si>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</si>
  <si>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</si>
  <si>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</si>
  <si>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</si>
  <si>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</si>
  <si>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</si>
  <si>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</si>
  <si>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</si>
  <si>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</si>
  <si>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</si>
  <si>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</si>
  <si>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</si>
  <si>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</si>
  <si>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</si>
  <si>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</si>
  <si>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</si>
  <si>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</si>
  <si>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</si>
  <si>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</si>
  <si>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</si>
  <si>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</si>
  <si>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</si>
  <si>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</si>
  <si>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</si>
  <si>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</si>
  <si>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</si>
  <si>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</si>
  <si>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</si>
  <si>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</si>
  <si>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</si>
  <si>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</si>
  <si>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</si>
  <si>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</si>
  <si>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</si>
  <si>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</si>
  <si>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</si>
  <si>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</si>
  <si>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</si>
  <si>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</si>
  <si>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</si>
  <si>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</si>
  <si>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</si>
  <si>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</si>
  <si>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</si>
  <si>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</si>
  <si>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</si>
  <si>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</si>
  <si>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</si>
  <si>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</si>
  <si>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</si>
  <si>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</si>
  <si>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</si>
  <si>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</si>
  <si>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</si>
  <si>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</si>
  <si>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</si>
  <si>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</si>
  <si>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</si>
  <si>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</si>
  <si>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</si>
  <si>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</si>
  <si>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</si>
  <si>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</si>
  <si>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</si>
  <si>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</si>
  <si>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</si>
  <si>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</si>
  <si>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</si>
  <si>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</si>
  <si>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</si>
  <si>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</si>
  <si>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</si>
  <si>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</si>
  <si>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</si>
  <si>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</si>
  <si>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</si>
  <si>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</si>
  <si>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</si>
  <si>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</si>
  <si>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</si>
  <si>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</si>
  <si>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</si>
  <si>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</si>
  <si>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</si>
  <si>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</si>
  <si>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</si>
  <si>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</si>
  <si>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</si>
  <si>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</si>
  <si>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</si>
  <si>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</si>
  <si>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</si>
  <si>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</si>
  <si>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</si>
  <si>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</si>
  <si>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</si>
  <si>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</si>
  <si>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</si>
  <si>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</si>
  <si>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</si>
  <si>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</si>
  <si>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</si>
  <si>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</si>
  <si>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</si>
  <si>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</si>
  <si>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</si>
  <si>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</si>
  <si>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</si>
  <si>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</si>
  <si>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</si>
  <si>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</si>
  <si>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</si>
  <si>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</si>
  <si>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</si>
  <si>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</si>
  <si>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</si>
  <si>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</si>
  <si>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</si>
  <si>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</si>
  <si>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</si>
  <si>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</si>
  <si>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</si>
  <si>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</si>
  <si>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</si>
  <si>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</si>
  <si>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</si>
  <si>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</si>
  <si>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</si>
  <si>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</si>
  <si>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</si>
  <si>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</si>
  <si>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</si>
  <si>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</si>
  <si>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</si>
  <si>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</si>
  <si>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</si>
  <si>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</si>
  <si>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</si>
  <si>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</si>
  <si>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</si>
  <si>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</si>
  <si>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</si>
  <si>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</si>
  <si>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</si>
  <si>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</si>
  <si>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</si>
  <si>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</si>
  <si>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</si>
  <si>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</si>
  <si>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</si>
  <si>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</si>
  <si>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</si>
  <si>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</si>
  <si>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</si>
  <si>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</si>
  <si>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</si>
  <si>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</si>
  <si>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</si>
  <si>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</si>
  <si>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</si>
  <si>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</si>
  <si>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</si>
  <si>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</si>
  <si>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</si>
  <si>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</si>
  <si>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</si>
  <si>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</si>
  <si>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</si>
  <si>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</si>
  <si>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</si>
  <si>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</si>
  <si>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</si>
  <si>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</si>
  <si>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</si>
  <si>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</si>
  <si>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</si>
  <si>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</si>
  <si>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</si>
  <si>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</si>
  <si>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</si>
  <si>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</si>
  <si>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</si>
  <si>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</si>
  <si>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</si>
  <si>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</si>
  <si>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</si>
  <si>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</si>
  <si>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</si>
  <si>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</si>
  <si>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</si>
  <si>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</si>
  <si>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</si>
  <si>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</si>
  <si>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</si>
  <si>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</si>
  <si>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</si>
  <si>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</si>
  <si>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</si>
  <si>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</si>
  <si>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</si>
  <si>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</si>
  <si>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</si>
  <si>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</si>
  <si>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</si>
  <si>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</si>
  <si>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</si>
  <si>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</si>
  <si>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</si>
  <si>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</si>
  <si>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</si>
  <si>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</si>
  <si>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</si>
  <si>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</si>
  <si>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</si>
  <si>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</si>
  <si>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</si>
  <si>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</si>
  <si>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</si>
  <si>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</si>
  <si>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</si>
  <si>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</si>
  <si>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</si>
  <si>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</si>
  <si>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</si>
  <si>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</si>
  <si>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</si>
  <si>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</si>
  <si>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</si>
  <si>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</si>
  <si>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</si>
  <si>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</si>
  <si>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</si>
  <si>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</si>
  <si>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</si>
  <si>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</si>
  <si>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</si>
  <si>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</si>
  <si>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</si>
  <si>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</si>
  <si>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</si>
  <si>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</si>
  <si>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</si>
  <si>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</si>
  <si>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</si>
  <si>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</si>
  <si>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</si>
  <si>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</si>
  <si>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</si>
  <si>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</si>
  <si>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</si>
  <si>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</si>
  <si>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</si>
  <si>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</si>
  <si>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</si>
  <si>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</si>
  <si>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</si>
  <si>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</si>
  <si>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</si>
  <si>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</si>
  <si>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</si>
  <si>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</si>
  <si>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</si>
  <si>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</si>
  <si>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11021</t>
  </si>
  <si>
    <t>HOVE</t>
  </si>
  <si>
    <t>Eandis (januari 2018); Infrax (juni 2018)</t>
  </si>
  <si>
    <t>MOW (september 2017)</t>
  </si>
  <si>
    <t>referentietaak LNE (2017); Jaarverslag De Lijn (2016)</t>
  </si>
  <si>
    <t>VEA (april 2018)</t>
  </si>
  <si>
    <t>VEA (januari 2017)</t>
  </si>
  <si>
    <t>VEA (juni 2018)</t>
  </si>
  <si>
    <t>Biolectric nv</t>
  </si>
  <si>
    <t>Jan de Malschelaan 4 B, 9140 Temse</t>
  </si>
  <si>
    <t>WKK-0337 Physt</t>
  </si>
  <si>
    <t>interne verbrandingsmotor</t>
  </si>
  <si>
    <t>WKK interne verbrandinsgmotor (gas)</t>
  </si>
  <si>
    <t>Boshoekstraat 111 , 2540 Hove</t>
  </si>
  <si>
    <t>IVEKA</t>
  </si>
  <si>
    <t>WKK-0422 Tom De Bontridder</t>
  </si>
  <si>
    <t>Boshoekstraat 111 A, 2540 Hove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</si>
</sst>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64705.393866346196</c:v>
                </c:pt>
                <c:pt idx="1">
                  <c:v>20857.12340393657</c:v>
                </c:pt>
                <c:pt idx="2">
                  <c:v>624.92600000000004</c:v>
                </c:pt>
                <c:pt idx="3">
                  <c:v>2806.5480636949087</c:v>
                </c:pt>
                <c:pt idx="4">
                  <c:v>2879.6313450863581</c:v>
                </c:pt>
                <c:pt idx="5">
                  <c:v>12564.699820684118</c:v>
                </c:pt>
                <c:pt idx="6">
                  <c:v>924.00187081162335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848320"/>
        <c:axId val="183862400"/>
      </c:barChart>
      <c:catAx>
        <c:axId val="183848320"/>
        <c:scaling>
          <c:orientation val="minMax"/>
        </c:scaling>
        <c:axPos val="b"/>
        <c:numFmt formatCode="General" sourceLinked="0"/>
        <c:tickLblPos val="nextTo"/>
        <c:crossAx val="183862400"/>
        <c:crosses val="autoZero"/>
        <c:auto val="1"/>
        <c:lblAlgn val="ctr"/>
        <c:lblOffset val="100"/>
      </c:catAx>
      <c:valAx>
        <c:axId val="183862400"/>
        <c:scaling>
          <c:orientation val="minMax"/>
        </c:scaling>
        <c:axPos val="l"/>
        <c:majorGridlines>
          <c:spPr>
            <a:ln>
              <a:noFill/>
            </a:ln>
          </c:spPr>
        </c:majorGridlines>
        <c:numFmt formatCode="#,##0" sourceLinked="1"/>
        <c:tickLblPos val="nextTo"/>
        <c:crossAx val="1838483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64705.393866346196</c:v>
                </c:pt>
                <c:pt idx="1">
                  <c:v>20857.12340393657</c:v>
                </c:pt>
                <c:pt idx="2">
                  <c:v>624.92600000000004</c:v>
                </c:pt>
                <c:pt idx="3">
                  <c:v>2806.5480636949087</c:v>
                </c:pt>
                <c:pt idx="4">
                  <c:v>2879.6313450863581</c:v>
                </c:pt>
                <c:pt idx="5">
                  <c:v>12564.699820684118</c:v>
                </c:pt>
                <c:pt idx="6">
                  <c:v>924.00187081162335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12506.5598483545</c:v>
                </c:pt>
                <c:pt idx="1">
                  <c:v>4215.0832867856361</c:v>
                </c:pt>
                <c:pt idx="2">
                  <c:v>130.74224763649437</c:v>
                </c:pt>
                <c:pt idx="3">
                  <c:v>634.57804180711639</c:v>
                </c:pt>
                <c:pt idx="4">
                  <c:v>575.67672194850525</c:v>
                </c:pt>
                <c:pt idx="5">
                  <c:v>3138.3775554482836</c:v>
                </c:pt>
                <c:pt idx="6">
                  <c:v>233.44959319432678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321920"/>
        <c:axId val="184323456"/>
      </c:barChart>
      <c:catAx>
        <c:axId val="184321920"/>
        <c:scaling>
          <c:orientation val="minMax"/>
        </c:scaling>
        <c:axPos val="b"/>
        <c:numFmt formatCode="General" sourceLinked="0"/>
        <c:tickLblPos val="nextTo"/>
        <c:crossAx val="184323456"/>
        <c:crosses val="autoZero"/>
        <c:auto val="1"/>
        <c:lblAlgn val="ctr"/>
        <c:lblOffset val="100"/>
      </c:catAx>
      <c:valAx>
        <c:axId val="184323456"/>
        <c:scaling>
          <c:orientation val="minMax"/>
        </c:scaling>
        <c:axPos val="l"/>
        <c:majorGridlines>
          <c:spPr>
            <a:ln>
              <a:noFill/>
            </a:ln>
          </c:spPr>
        </c:majorGridlines>
        <c:numFmt formatCode="#,##0" sourceLinked="1"/>
        <c:tickLblPos val="nextTo"/>
        <c:crossAx val="18432192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12506.5598483545</c:v>
                </c:pt>
                <c:pt idx="1">
                  <c:v>4215.0832867856361</c:v>
                </c:pt>
                <c:pt idx="2">
                  <c:v>130.74224763649437</c:v>
                </c:pt>
                <c:pt idx="3">
                  <c:v>634.57804180711639</c:v>
                </c:pt>
                <c:pt idx="4">
                  <c:v>575.67672194850525</c:v>
                </c:pt>
                <c:pt idx="5">
                  <c:v>3138.3775554482836</c:v>
                </c:pt>
                <c:pt idx="6">
                  <c:v>233.44959319432678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11021</v>
      </c>
      <c r="B6" s="415"/>
      <c r="C6" s="416"/>
    </row>
    <row r="7" spans="1:7" s="413" customFormat="1" ht="15.75" customHeight="1">
      <c r="A7" s="417" t="str">
        <f>txtMunicipality</f>
        <v>HOVE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11021</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3210</v>
      </c>
      <c r="C9" s="342">
        <v>3350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151.4</v>
      </c>
    </row>
    <row r="15" spans="1:6">
      <c r="A15" s="348" t="s">
        <v>184</v>
      </c>
      <c r="B15" s="334">
        <v>13</v>
      </c>
    </row>
    <row r="16" spans="1:6">
      <c r="A16" s="348" t="s">
        <v>6</v>
      </c>
      <c r="B16" s="334">
        <v>549</v>
      </c>
    </row>
    <row r="17" spans="1:6">
      <c r="A17" s="348" t="s">
        <v>7</v>
      </c>
      <c r="B17" s="334">
        <v>9</v>
      </c>
    </row>
    <row r="18" spans="1:6">
      <c r="A18" s="348" t="s">
        <v>8</v>
      </c>
      <c r="B18" s="334">
        <v>276</v>
      </c>
    </row>
    <row r="19" spans="1:6">
      <c r="A19" s="348" t="s">
        <v>9</v>
      </c>
      <c r="B19" s="334">
        <v>241</v>
      </c>
    </row>
    <row r="20" spans="1:6">
      <c r="A20" s="348" t="s">
        <v>10</v>
      </c>
      <c r="B20" s="334">
        <v>114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77</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3323.1917314553998</v>
      </c>
    </row>
    <row r="39" spans="1:6">
      <c r="A39" s="348" t="s">
        <v>30</v>
      </c>
      <c r="B39" s="348" t="s">
        <v>31</v>
      </c>
      <c r="C39" s="334">
        <v>2636</v>
      </c>
      <c r="D39" s="334">
        <v>52672062.629808001</v>
      </c>
      <c r="E39" s="334">
        <v>3165</v>
      </c>
      <c r="F39" s="334">
        <v>12574980.4671461</v>
      </c>
    </row>
    <row r="40" spans="1:6">
      <c r="A40" s="348" t="s">
        <v>30</v>
      </c>
      <c r="B40" s="348" t="s">
        <v>29</v>
      </c>
      <c r="C40" s="334">
        <v>0</v>
      </c>
      <c r="D40" s="334">
        <v>0</v>
      </c>
      <c r="E40" s="334">
        <v>0</v>
      </c>
      <c r="F40" s="334">
        <v>0</v>
      </c>
    </row>
    <row r="41" spans="1:6">
      <c r="A41" s="348" t="s">
        <v>32</v>
      </c>
      <c r="B41" s="348" t="s">
        <v>33</v>
      </c>
      <c r="C41" s="334">
        <v>15</v>
      </c>
      <c r="D41" s="334">
        <v>363661.20492072101</v>
      </c>
      <c r="E41" s="334">
        <v>25</v>
      </c>
      <c r="F41" s="334">
        <v>163508.218031392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393335.81037933799</v>
      </c>
      <c r="E48" s="334">
        <v>20</v>
      </c>
      <c r="F48" s="334">
        <v>194105.593697915</v>
      </c>
    </row>
    <row r="49" spans="1:6">
      <c r="A49" s="348" t="s">
        <v>32</v>
      </c>
      <c r="B49" s="348" t="s">
        <v>40</v>
      </c>
      <c r="C49" s="334">
        <v>0</v>
      </c>
      <c r="D49" s="334">
        <v>0</v>
      </c>
      <c r="E49" s="334">
        <v>0</v>
      </c>
      <c r="F49" s="334">
        <v>0</v>
      </c>
    </row>
    <row r="50" spans="1:6">
      <c r="A50" s="348" t="s">
        <v>32</v>
      </c>
      <c r="B50" s="348" t="s">
        <v>41</v>
      </c>
      <c r="C50" s="334">
        <v>7</v>
      </c>
      <c r="D50" s="334">
        <v>940768.53720276698</v>
      </c>
      <c r="E50" s="334">
        <v>8</v>
      </c>
      <c r="F50" s="334">
        <v>585190.52038803406</v>
      </c>
    </row>
    <row r="51" spans="1:6">
      <c r="A51" s="348" t="s">
        <v>42</v>
      </c>
      <c r="B51" s="348" t="s">
        <v>43</v>
      </c>
      <c r="C51" s="334">
        <v>0</v>
      </c>
      <c r="D51" s="334">
        <v>0</v>
      </c>
      <c r="E51" s="334">
        <v>4</v>
      </c>
      <c r="F51" s="334">
        <v>227214.20073313001</v>
      </c>
    </row>
    <row r="52" spans="1:6">
      <c r="A52" s="348" t="s">
        <v>42</v>
      </c>
      <c r="B52" s="348" t="s">
        <v>29</v>
      </c>
      <c r="C52" s="334">
        <v>3</v>
      </c>
      <c r="D52" s="334">
        <v>63014.438065481103</v>
      </c>
      <c r="E52" s="334">
        <v>5</v>
      </c>
      <c r="F52" s="334">
        <v>39618.995667773001</v>
      </c>
    </row>
    <row r="53" spans="1:6">
      <c r="A53" s="348" t="s">
        <v>44</v>
      </c>
      <c r="B53" s="348" t="s">
        <v>45</v>
      </c>
      <c r="C53" s="334">
        <v>66</v>
      </c>
      <c r="D53" s="334">
        <v>1399561.6202992001</v>
      </c>
      <c r="E53" s="334">
        <v>109</v>
      </c>
      <c r="F53" s="334">
        <v>414266.35551522399</v>
      </c>
    </row>
    <row r="54" spans="1:6">
      <c r="A54" s="348" t="s">
        <v>46</v>
      </c>
      <c r="B54" s="348" t="s">
        <v>47</v>
      </c>
      <c r="C54" s="334">
        <v>0</v>
      </c>
      <c r="D54" s="334">
        <v>0</v>
      </c>
      <c r="E54" s="334">
        <v>1</v>
      </c>
      <c r="F54" s="334">
        <v>624926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499378.645128701</v>
      </c>
      <c r="E57" s="334">
        <v>37</v>
      </c>
      <c r="F57" s="334">
        <v>599485.61787703296</v>
      </c>
    </row>
    <row r="58" spans="1:6">
      <c r="A58" s="348" t="s">
        <v>49</v>
      </c>
      <c r="B58" s="348" t="s">
        <v>51</v>
      </c>
      <c r="C58" s="334">
        <v>26</v>
      </c>
      <c r="D58" s="334">
        <v>1384761.2120896999</v>
      </c>
      <c r="E58" s="334">
        <v>36</v>
      </c>
      <c r="F58" s="334">
        <v>690938.66325477697</v>
      </c>
    </row>
    <row r="59" spans="1:6">
      <c r="A59" s="348" t="s">
        <v>49</v>
      </c>
      <c r="B59" s="348" t="s">
        <v>52</v>
      </c>
      <c r="C59" s="334">
        <v>29</v>
      </c>
      <c r="D59" s="334">
        <v>782761.227018859</v>
      </c>
      <c r="E59" s="334">
        <v>46</v>
      </c>
      <c r="F59" s="334">
        <v>1015696.31207415</v>
      </c>
    </row>
    <row r="60" spans="1:6">
      <c r="A60" s="348" t="s">
        <v>49</v>
      </c>
      <c r="B60" s="348" t="s">
        <v>53</v>
      </c>
      <c r="C60" s="334">
        <v>16</v>
      </c>
      <c r="D60" s="334">
        <v>764071.74722436105</v>
      </c>
      <c r="E60" s="334">
        <v>18</v>
      </c>
      <c r="F60" s="334">
        <v>629453.45138990099</v>
      </c>
    </row>
    <row r="61" spans="1:6">
      <c r="A61" s="348" t="s">
        <v>49</v>
      </c>
      <c r="B61" s="348" t="s">
        <v>54</v>
      </c>
      <c r="C61" s="334">
        <v>123</v>
      </c>
      <c r="D61" s="334">
        <v>4660204.7262740396</v>
      </c>
      <c r="E61" s="334">
        <v>200</v>
      </c>
      <c r="F61" s="334">
        <v>2340245.7880728301</v>
      </c>
    </row>
    <row r="62" spans="1:6">
      <c r="A62" s="348" t="s">
        <v>49</v>
      </c>
      <c r="B62" s="348" t="s">
        <v>55</v>
      </c>
      <c r="C62" s="334">
        <v>0</v>
      </c>
      <c r="D62" s="334">
        <v>0</v>
      </c>
      <c r="E62" s="334">
        <v>0</v>
      </c>
      <c r="F62" s="334">
        <v>0</v>
      </c>
    </row>
    <row r="63" spans="1:6">
      <c r="A63" s="348" t="s">
        <v>49</v>
      </c>
      <c r="B63" s="348" t="s">
        <v>29</v>
      </c>
      <c r="C63" s="334">
        <v>84</v>
      </c>
      <c r="D63" s="334">
        <v>4501115.1491700504</v>
      </c>
      <c r="E63" s="334">
        <v>88</v>
      </c>
      <c r="F63" s="334">
        <v>2170895.2946781302</v>
      </c>
    </row>
    <row r="64" spans="1:6">
      <c r="A64" s="348" t="s">
        <v>56</v>
      </c>
      <c r="B64" s="348" t="s">
        <v>57</v>
      </c>
      <c r="C64" s="334">
        <v>0</v>
      </c>
      <c r="D64" s="334">
        <v>0</v>
      </c>
      <c r="E64" s="334">
        <v>0</v>
      </c>
      <c r="F64" s="334">
        <v>0</v>
      </c>
    </row>
    <row r="65" spans="1:6">
      <c r="A65" s="348" t="s">
        <v>56</v>
      </c>
      <c r="B65" s="348" t="s">
        <v>29</v>
      </c>
      <c r="C65" s="334">
        <v>1</v>
      </c>
      <c r="D65" s="334">
        <v>48031.078320156201</v>
      </c>
      <c r="E65" s="334">
        <v>4</v>
      </c>
      <c r="F65" s="334">
        <v>17026.4933318486</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13959550</v>
      </c>
      <c r="E73" s="476">
        <v>12526522.273578998</v>
      </c>
    </row>
    <row r="74" spans="1:6">
      <c r="A74" s="348" t="s">
        <v>64</v>
      </c>
      <c r="B74" s="348" t="s">
        <v>657</v>
      </c>
      <c r="C74" s="1272" t="s">
        <v>659</v>
      </c>
      <c r="D74" s="476">
        <v>424369.62500919786</v>
      </c>
      <c r="E74" s="476">
        <v>396840.64119546337</v>
      </c>
    </row>
    <row r="75" spans="1:6">
      <c r="A75" s="348" t="s">
        <v>65</v>
      </c>
      <c r="B75" s="348" t="s">
        <v>656</v>
      </c>
      <c r="C75" s="1272" t="s">
        <v>660</v>
      </c>
      <c r="D75" s="476">
        <v>3521713</v>
      </c>
      <c r="E75" s="476">
        <v>3176505.2942970293</v>
      </c>
    </row>
    <row r="76" spans="1:6">
      <c r="A76" s="348" t="s">
        <v>65</v>
      </c>
      <c r="B76" s="348" t="s">
        <v>657</v>
      </c>
      <c r="C76" s="1272" t="s">
        <v>661</v>
      </c>
      <c r="D76" s="476">
        <v>5427.6</v>
      </c>
      <c r="E76" s="476">
        <v>5156.2500353388086</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250604.74998160428</v>
      </c>
      <c r="C83" s="476">
        <v>251707.72099841459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1142.0732986136293</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2061</v>
      </c>
    </row>
    <row r="98" spans="1:6">
      <c r="A98" s="348" t="s">
        <v>72</v>
      </c>
      <c r="B98" s="334">
        <v>1</v>
      </c>
    </row>
    <row r="99" spans="1:6">
      <c r="A99" s="348" t="s">
        <v>73</v>
      </c>
      <c r="B99" s="334">
        <v>4</v>
      </c>
    </row>
    <row r="100" spans="1:6">
      <c r="A100" s="348" t="s">
        <v>74</v>
      </c>
      <c r="B100" s="334">
        <v>226</v>
      </c>
    </row>
    <row r="101" spans="1:6">
      <c r="A101" s="348" t="s">
        <v>75</v>
      </c>
      <c r="B101" s="334">
        <v>12</v>
      </c>
    </row>
    <row r="102" spans="1:6">
      <c r="A102" s="348" t="s">
        <v>76</v>
      </c>
      <c r="B102" s="334">
        <v>31</v>
      </c>
    </row>
    <row r="103" spans="1:6">
      <c r="A103" s="348" t="s">
        <v>77</v>
      </c>
      <c r="B103" s="334">
        <v>25</v>
      </c>
    </row>
    <row r="104" spans="1:6">
      <c r="A104" s="348" t="s">
        <v>78</v>
      </c>
      <c r="B104" s="334">
        <v>568</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66</v>
      </c>
      <c r="C123" s="334">
        <v>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59</v>
      </c>
    </row>
    <row r="130" spans="1:6">
      <c r="A130" s="348" t="s">
        <v>295</v>
      </c>
      <c r="B130" s="334">
        <v>1</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23048.859608412648</v>
      </c>
      <c r="C3" s="43" t="s">
        <v>170</v>
      </c>
      <c r="D3" s="43"/>
      <c r="E3" s="154"/>
      <c r="F3" s="43"/>
      <c r="G3" s="43"/>
      <c r="H3" s="43"/>
      <c r="I3" s="43"/>
      <c r="J3" s="43"/>
      <c r="K3" s="96"/>
    </row>
    <row r="4" spans="1:11">
      <c r="A4" s="383" t="s">
        <v>171</v>
      </c>
      <c r="B4" s="49">
        <f>IF(ISERROR('SEAP template'!B69),0,'SEAP template'!B69)</f>
        <v>1229.3732986136292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0.20921236696263934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124.71428571428569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624.92600000000004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624.92600000000004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0.20921236696263934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130.74224763649437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12574.980467146101</v>
      </c>
      <c r="C5" s="17">
        <f>IF(ISERROR('Eigen informatie GS &amp; warmtenet'!B57),0,'Eigen informatie GS &amp; warmtenet'!B57)</f>
        <v>0</v>
      </c>
      <c r="D5" s="30">
        <f>(SUM(HH_hh_gas_kWh,HH_rest_gas_kWh)/1000)*0.902</f>
        <v>47510.20049208682</v>
      </c>
      <c r="E5" s="17">
        <f>B46*B57</f>
        <v>174.98706107746756</v>
      </c>
      <c r="F5" s="17">
        <f>B51*B62</f>
        <v>0</v>
      </c>
      <c r="G5" s="18"/>
      <c r="H5" s="17"/>
      <c r="I5" s="17"/>
      <c r="J5" s="17">
        <f>B50*B61+C50*C61</f>
        <v>0</v>
      </c>
      <c r="K5" s="17"/>
      <c r="L5" s="17"/>
      <c r="M5" s="17"/>
      <c r="N5" s="17">
        <f>B48*B59+C48*C59</f>
        <v>1789.0392140888457</v>
      </c>
      <c r="O5" s="17">
        <f>B69*B70*B71</f>
        <v>103.17999999999999</v>
      </c>
      <c r="P5" s="17">
        <f>B77*B78*B79/1000-B77*B78*B79/1000/B80</f>
        <v>1410.9333333333334</v>
      </c>
    </row>
    <row r="6" spans="1:16">
      <c r="A6" s="16" t="s">
        <v>621</v>
      </c>
      <c r="B6" s="843">
        <f>kWh_PV_kleiner_dan_10kW</f>
        <v>1142.0732986136293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13717.053765759731</v>
      </c>
      <c r="C8" s="21">
        <f>C5</f>
        <v>0</v>
      </c>
      <c r="D8" s="21">
        <f>D5</f>
        <v>47510.20049208682</v>
      </c>
      <c r="E8" s="21">
        <f>E5</f>
        <v>174.98706107746756</v>
      </c>
      <c r="F8" s="21">
        <f>F5</f>
        <v>0</v>
      </c>
      <c r="G8" s="21"/>
      <c r="H8" s="21"/>
      <c r="I8" s="21"/>
      <c r="J8" s="21">
        <f>J5</f>
        <v>0</v>
      </c>
      <c r="K8" s="21"/>
      <c r="L8" s="21">
        <f>L5</f>
        <v>0</v>
      </c>
      <c r="M8" s="21">
        <f>M5</f>
        <v>0</v>
      </c>
      <c r="N8" s="21">
        <f>N5</f>
        <v>1789.0392140888457</v>
      </c>
      <c r="O8" s="21">
        <f>O5</f>
        <v>103.17999999999999</v>
      </c>
      <c r="P8" s="21">
        <f>P5</f>
        <v>1410.9333333333334</v>
      </c>
    </row>
    <row r="9" spans="1:16">
      <c r="B9" s="19"/>
      <c r="C9" s="19"/>
      <c r="D9" s="258"/>
      <c r="E9" s="19"/>
      <c r="F9" s="19"/>
      <c r="G9" s="19"/>
      <c r="H9" s="19"/>
      <c r="I9" s="19"/>
      <c r="J9" s="19"/>
      <c r="K9" s="19"/>
      <c r="L9" s="19"/>
      <c r="M9" s="19"/>
      <c r="N9" s="19"/>
      <c r="O9" s="19"/>
      <c r="P9" s="19"/>
    </row>
    <row r="10" spans="1:16">
      <c r="A10" s="24" t="s">
        <v>214</v>
      </c>
      <c r="B10" s="25">
        <f ca="1">'EF ele_warmte'!B12</f>
        <v>0.20921236696263934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2869.7772860883788</v>
      </c>
      <c r="C12" s="23">
        <f ca="1">C10*C8</f>
        <v>0</v>
      </c>
      <c r="D12" s="23">
        <f>D8*D10</f>
        <v>9597.0604994015375</v>
      </c>
      <c r="E12" s="23">
        <f>E10*E8</f>
        <v>39.722062864585141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2061</v>
      </c>
      <c r="C18" s="166" t="s">
        <v>111</v>
      </c>
      <c r="D18" s="228"/>
      <c r="E18" s="15"/>
    </row>
    <row r="19" spans="1:7">
      <c r="A19" s="171" t="s">
        <v>72</v>
      </c>
      <c r="B19" s="37">
        <f>aantalw2001_ander</f>
        <v>1</v>
      </c>
      <c r="C19" s="166" t="s">
        <v>111</v>
      </c>
      <c r="D19" s="229"/>
      <c r="E19" s="15"/>
    </row>
    <row r="20" spans="1:7">
      <c r="A20" s="171" t="s">
        <v>73</v>
      </c>
      <c r="B20" s="37">
        <f>aantalw2001_propaan</f>
        <v>4</v>
      </c>
      <c r="C20" s="167">
        <f>IF(ISERROR(B20/SUM($B$20,$B$21,$B$22)*100),0,B20/SUM($B$20,$B$21,$B$22)*100)</f>
        <v>1.6528925619834711</v>
      </c>
      <c r="D20" s="229"/>
      <c r="E20" s="15"/>
    </row>
    <row r="21" spans="1:7">
      <c r="A21" s="171" t="s">
        <v>74</v>
      </c>
      <c r="B21" s="37">
        <f>aantalw2001_elektriciteit</f>
        <v>226</v>
      </c>
      <c r="C21" s="167">
        <f>IF(ISERROR(B21/SUM($B$20,$B$21,$B$22)*100),0,B21/SUM($B$20,$B$21,$B$22)*100)</f>
        <v>93.388429752066116</v>
      </c>
      <c r="D21" s="229"/>
      <c r="E21" s="15"/>
    </row>
    <row r="22" spans="1:7">
      <c r="A22" s="171" t="s">
        <v>75</v>
      </c>
      <c r="B22" s="37">
        <f>aantalw2001_hout</f>
        <v>12</v>
      </c>
      <c r="C22" s="167">
        <f>IF(ISERROR(B22/SUM($B$20,$B$21,$B$22)*100),0,B22/SUM($B$20,$B$21,$B$22)*100)</f>
        <v>4.9586776859504136</v>
      </c>
      <c r="D22" s="229"/>
      <c r="E22" s="15"/>
    </row>
    <row r="23" spans="1:7">
      <c r="A23" s="171" t="s">
        <v>76</v>
      </c>
      <c r="B23" s="37">
        <f>aantalw2001_niet_gespec</f>
        <v>31</v>
      </c>
      <c r="C23" s="166" t="s">
        <v>111</v>
      </c>
      <c r="D23" s="228"/>
      <c r="E23" s="15"/>
    </row>
    <row r="24" spans="1:7">
      <c r="A24" s="171" t="s">
        <v>77</v>
      </c>
      <c r="B24" s="37">
        <f>aantalw2001_steenkool</f>
        <v>25</v>
      </c>
      <c r="C24" s="166" t="s">
        <v>111</v>
      </c>
      <c r="D24" s="229"/>
      <c r="E24" s="15"/>
    </row>
    <row r="25" spans="1:7">
      <c r="A25" s="171" t="s">
        <v>78</v>
      </c>
      <c r="B25" s="37">
        <f>aantalw2001_stookolie</f>
        <v>568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3210</v>
      </c>
      <c r="C28" s="36"/>
      <c r="D28" s="228"/>
    </row>
    <row r="29" spans="1:7" s="15" customFormat="1">
      <c r="A29" s="230" t="s">
        <v>795</v>
      </c>
      <c r="B29" s="37">
        <f>SUM(HH_hh_gas_aantal,HH_rest_gas_aantal)</f>
        <v>2636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2636</v>
      </c>
      <c r="C32" s="167">
        <f>IF(ISERROR(B32/SUM($B$32,$B$34,$B$35,$B$36,$B$38,$B$39)*100),0,B32/SUM($B$32,$B$34,$B$35,$B$36,$B$38,$B$39)*100)</f>
        <v>84.056122448979579</v>
      </c>
      <c r="D32" s="233"/>
      <c r="G32" s="15"/>
    </row>
    <row r="33" spans="1:7">
      <c r="A33" s="171" t="s">
        <v>72</v>
      </c>
      <c r="B33" s="34" t="s">
        <v>111</v>
      </c>
      <c r="C33" s="167"/>
      <c r="D33" s="233"/>
      <c r="G33" s="15"/>
    </row>
    <row r="34" spans="1:7">
      <c r="A34" s="171" t="s">
        <v>73</v>
      </c>
      <c r="B34" s="33">
        <f>IF((($B$28-$B$32-$B$39-$B$77-$B$38)*C20/100)&lt;0,0,($B$28-$B$32-$B$39-$B$77-$B$38)*C20/100)</f>
        <v>8.2644628099173545</v>
      </c>
      <c r="C34" s="167">
        <f>IF(ISERROR(B34/SUM($B$32,$B$34,$B$35,$B$36,$B$38,$B$39)*100),0,B34/SUM($B$32,$B$34,$B$35,$B$36,$B$38,$B$39)*100)</f>
        <v>0.26353516613256867</v>
      </c>
      <c r="D34" s="233"/>
      <c r="G34" s="15"/>
    </row>
    <row r="35" spans="1:7">
      <c r="A35" s="171" t="s">
        <v>74</v>
      </c>
      <c r="B35" s="33">
        <f>IF((($B$28-$B$32-$B$39-$B$77-$B$38)*C21/100)&lt;0,0,($B$28-$B$32-$B$39-$B$77-$B$38)*C21/100)</f>
        <v>466.94214876033061</v>
      </c>
      <c r="C35" s="167">
        <f>IF(ISERROR(B35/SUM($B$32,$B$34,$B$35,$B$36,$B$38,$B$39)*100),0,B35/SUM($B$32,$B$34,$B$35,$B$36,$B$38,$B$39)*100)</f>
        <v>14.889736886490132</v>
      </c>
      <c r="D35" s="233"/>
      <c r="G35" s="15"/>
    </row>
    <row r="36" spans="1:7">
      <c r="A36" s="171" t="s">
        <v>75</v>
      </c>
      <c r="B36" s="33">
        <f>IF((($B$28-$B$32-$B$39-$B$77-$B$38)*C22/100)&lt;0,0,($B$28-$B$32-$B$39-$B$77-$B$38)*C22/100)</f>
        <v>24.793388429752067</v>
      </c>
      <c r="C36" s="167">
        <f>IF(ISERROR(B36/SUM($B$32,$B$34,$B$35,$B$36,$B$38,$B$39)*100),0,B36/SUM($B$32,$B$34,$B$35,$B$36,$B$38,$B$39)*100)</f>
        <v>0.790605498397706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2636</v>
      </c>
      <c r="C44" s="34" t="s">
        <v>111</v>
      </c>
      <c r="D44" s="174"/>
    </row>
    <row r="45" spans="1:7">
      <c r="A45" s="171" t="s">
        <v>72</v>
      </c>
      <c r="B45" s="33" t="str">
        <f t="shared" si="0"/>
        <v>-</v>
      </c>
      <c r="C45" s="34" t="s">
        <v>111</v>
      </c>
      <c r="D45" s="174"/>
    </row>
    <row r="46" spans="1:7">
      <c r="A46" s="171" t="s">
        <v>73</v>
      </c>
      <c r="B46" s="33">
        <f t="shared" si="0"/>
        <v>8.2644628099173545</v>
      </c>
      <c r="C46" s="34" t="s">
        <v>111</v>
      </c>
      <c r="D46" s="174"/>
    </row>
    <row r="47" spans="1:7">
      <c r="A47" s="171" t="s">
        <v>74</v>
      </c>
      <c r="B47" s="33">
        <f t="shared" si="0"/>
        <v>466.94214876033061</v>
      </c>
      <c r="C47" s="34" t="s">
        <v>111</v>
      </c>
      <c r="D47" s="174"/>
    </row>
    <row r="48" spans="1:7">
      <c r="A48" s="171" t="s">
        <v>75</v>
      </c>
      <c r="B48" s="33">
        <f t="shared" si="0"/>
        <v>24.793388429752067</v>
      </c>
      <c r="C48" s="33">
        <f>B48*10</f>
        <v>247.93388429752068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7446.7151273468216</v>
      </c>
      <c r="C5" s="17">
        <f>IF(ISERROR('Eigen informatie GS &amp; warmtenet'!B58),0,'Eigen informatie GS &amp; warmtenet'!B58)</f>
        <v>0</v>
      </c>
      <c r="D5" s="30">
        <f>SUM(D6:D12)</f>
        <v>11358.248021628951</v>
      </c>
      <c r="E5" s="17">
        <f>SUM(E6:E12)</f>
        <v>73.583480946395028</v>
      </c>
      <c r="F5" s="17">
        <f>SUM(F6:F12)</f>
        <v>1261.9110531141132</v>
      </c>
      <c r="G5" s="18"/>
      <c r="H5" s="17"/>
      <c r="I5" s="17"/>
      <c r="J5" s="17">
        <f>SUM(J6:J12)</f>
        <v>1.8269360587275733E-2</v>
      </c>
      <c r="K5" s="17"/>
      <c r="L5" s="17"/>
      <c r="M5" s="17"/>
      <c r="N5" s="17">
        <f>SUM(N6:N12)</f>
        <v>733.79126106351418</v>
      </c>
      <c r="O5" s="17">
        <f>B38*B39*B40</f>
        <v>1.5633333333333335</v>
      </c>
      <c r="P5" s="17">
        <f>B46*B47*B48/1000-B46*B47*B48/1000/B49</f>
        <v>0</v>
      </c>
      <c r="R5" s="32"/>
    </row>
    <row r="6" spans="1:18">
      <c r="A6" s="32" t="s">
        <v>54</v>
      </c>
      <c r="B6" s="37">
        <f>B26</f>
        <v>2340.2457880728302</v>
      </c>
      <c r="C6" s="33"/>
      <c r="D6" s="37">
        <f>IF(ISERROR(TER_kantoor_gas_kWh/1000),0,TER_kantoor_gas_kWh/1000)*0.902</f>
        <v>4203.5046630991837</v>
      </c>
      <c r="E6" s="33">
        <f>$C$26*'E Balans VL '!I12/100/3.6*1000000</f>
        <v>1.4667882246085392E-2</v>
      </c>
      <c r="F6" s="33">
        <f>$C$26*('E Balans VL '!L12+'E Balans VL '!N12)/100/3.6*1000000</f>
        <v>351.67354924327935</v>
      </c>
      <c r="G6" s="34"/>
      <c r="H6" s="33"/>
      <c r="I6" s="33"/>
      <c r="J6" s="33">
        <f>$C$26*('E Balans VL '!D12+'E Balans VL '!E12)/100/3.6*1000000</f>
        <v>0</v>
      </c>
      <c r="K6" s="33"/>
      <c r="L6" s="33"/>
      <c r="M6" s="33"/>
      <c r="N6" s="33">
        <f>$C$26*'E Balans VL '!Y12/100/3.6*1000000</f>
        <v>2.2380981167746028</v>
      </c>
      <c r="O6" s="33"/>
      <c r="P6" s="33"/>
      <c r="R6" s="32"/>
    </row>
    <row r="7" spans="1:18">
      <c r="A7" s="32" t="s">
        <v>53</v>
      </c>
      <c r="B7" s="37">
        <f t="shared" ref="B7:B12" si="0">B27</f>
        <v>629.45345138990103</v>
      </c>
      <c r="C7" s="33"/>
      <c r="D7" s="37">
        <f>IF(ISERROR(TER_horeca_gas_kWh/1000),0,TER_horeca_gas_kWh/1000)*0.902</f>
        <v>689.19271599637364</v>
      </c>
      <c r="E7" s="33">
        <f>$C$27*'E Balans VL '!I9/100/3.6*1000000</f>
        <v>9.0136685769734619</v>
      </c>
      <c r="F7" s="33">
        <f>$C$27*('E Balans VL '!L9+'E Balans VL '!N9)/100/3.6*1000000</f>
        <v>79.70956712059197</v>
      </c>
      <c r="G7" s="34"/>
      <c r="H7" s="33"/>
      <c r="I7" s="33"/>
      <c r="J7" s="33">
        <f>$C$27*('E Balans VL '!D9+'E Balans VL '!E9)/100/3.6*1000000</f>
        <v>0</v>
      </c>
      <c r="K7" s="33"/>
      <c r="L7" s="33"/>
      <c r="M7" s="33"/>
      <c r="N7" s="33">
        <f>$C$27*'E Balans VL '!Y9/100/3.6*1000000</f>
        <v>0.18095398901729834</v>
      </c>
      <c r="O7" s="33"/>
      <c r="P7" s="33"/>
      <c r="R7" s="32"/>
    </row>
    <row r="8" spans="1:18">
      <c r="A8" s="6" t="s">
        <v>52</v>
      </c>
      <c r="B8" s="37">
        <f t="shared" si="0"/>
        <v>1015.69631207415</v>
      </c>
      <c r="C8" s="33"/>
      <c r="D8" s="37">
        <f>IF(ISERROR(TER_handel_gas_kWh/1000),0,TER_handel_gas_kWh/1000)*0.902</f>
        <v>706.0506267710108</v>
      </c>
      <c r="E8" s="33">
        <f>$C$28*'E Balans VL '!I13/100/3.6*1000000</f>
        <v>36.839179988871606</v>
      </c>
      <c r="F8" s="33">
        <f>$C$28*('E Balans VL '!L13+'E Balans VL '!N13)/100/3.6*1000000</f>
        <v>195.63339428451417</v>
      </c>
      <c r="G8" s="34"/>
      <c r="H8" s="33"/>
      <c r="I8" s="33"/>
      <c r="J8" s="33">
        <f>$C$28*('E Balans VL '!D13+'E Balans VL '!E13)/100/3.6*1000000</f>
        <v>0</v>
      </c>
      <c r="K8" s="33"/>
      <c r="L8" s="33"/>
      <c r="M8" s="33"/>
      <c r="N8" s="33">
        <f>$C$28*'E Balans VL '!Y13/100/3.6*1000000</f>
        <v>1.4069730935213407</v>
      </c>
      <c r="O8" s="33"/>
      <c r="P8" s="33"/>
      <c r="R8" s="32"/>
    </row>
    <row r="9" spans="1:18">
      <c r="A9" s="32" t="s">
        <v>51</v>
      </c>
      <c r="B9" s="37">
        <f t="shared" si="0"/>
        <v>690.938663254777</v>
      </c>
      <c r="C9" s="33"/>
      <c r="D9" s="37">
        <f>IF(ISERROR(TER_gezond_gas_kWh/1000),0,TER_gezond_gas_kWh/1000)*0.902</f>
        <v>1249.0546133049095</v>
      </c>
      <c r="E9" s="33">
        <f>$C$29*'E Balans VL '!I10/100/3.6*1000000</f>
        <v>4.3259582106621612E-2</v>
      </c>
      <c r="F9" s="33">
        <f>$C$29*('E Balans VL '!L10+'E Balans VL '!N10)/100/3.6*1000000</f>
        <v>102.64104213438019</v>
      </c>
      <c r="G9" s="34"/>
      <c r="H9" s="33"/>
      <c r="I9" s="33"/>
      <c r="J9" s="33">
        <f>$C$29*('E Balans VL '!D10+'E Balans VL '!E10)/100/3.6*1000000</f>
        <v>0</v>
      </c>
      <c r="K9" s="33"/>
      <c r="L9" s="33"/>
      <c r="M9" s="33"/>
      <c r="N9" s="33">
        <f>$C$29*'E Balans VL '!Y10/100/3.6*1000000</f>
        <v>10.687505913106941</v>
      </c>
      <c r="O9" s="33"/>
      <c r="P9" s="33"/>
      <c r="R9" s="32"/>
    </row>
    <row r="10" spans="1:18">
      <c r="A10" s="32" t="s">
        <v>50</v>
      </c>
      <c r="B10" s="37">
        <f t="shared" si="0"/>
        <v>599.48561787703295</v>
      </c>
      <c r="C10" s="33"/>
      <c r="D10" s="37">
        <f>IF(ISERROR(TER_ander_gas_kWh/1000),0,TER_ander_gas_kWh/1000)*0.902</f>
        <v>450.43953790608833</v>
      </c>
      <c r="E10" s="33">
        <f>$C$30*'E Balans VL '!I14/100/3.6*1000000</f>
        <v>0.71456543451312171</v>
      </c>
      <c r="F10" s="33">
        <f>$C$30*('E Balans VL '!L14+'E Balans VL '!N14)/100/3.6*1000000</f>
        <v>156.85208867394641</v>
      </c>
      <c r="G10" s="34"/>
      <c r="H10" s="33"/>
      <c r="I10" s="33"/>
      <c r="J10" s="33">
        <f>$C$30*('E Balans VL '!D14+'E Balans VL '!E14)/100/3.6*1000000</f>
        <v>1.3012482845374169E-2</v>
      </c>
      <c r="K10" s="33"/>
      <c r="L10" s="33"/>
      <c r="M10" s="33"/>
      <c r="N10" s="33">
        <f>$C$30*'E Balans VL '!Y14/100/3.6*1000000</f>
        <v>509.06851749459071</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2170.8952946781301</v>
      </c>
      <c r="C12" s="33"/>
      <c r="D12" s="37">
        <f>IF(ISERROR(TER_rest_gas_kWh/1000),0,TER_rest_gas_kWh/1000)*0.902</f>
        <v>4060.0058645513855</v>
      </c>
      <c r="E12" s="33">
        <f>$C$32*'E Balans VL '!I8/100/3.6*1000000</f>
        <v>26.958139481684132</v>
      </c>
      <c r="F12" s="33">
        <f>$C$32*('E Balans VL '!L8+'E Balans VL '!N8)/100/3.6*1000000</f>
        <v>375.40141165740101</v>
      </c>
      <c r="G12" s="34"/>
      <c r="H12" s="33"/>
      <c r="I12" s="33"/>
      <c r="J12" s="33">
        <f>$C$32*('E Balans VL '!D8+'E Balans VL '!E8)/100/3.6*1000000</f>
        <v>5.2568777419015628E-3</v>
      </c>
      <c r="K12" s="33"/>
      <c r="L12" s="33"/>
      <c r="M12" s="33"/>
      <c r="N12" s="33">
        <f>$C$32*'E Balans VL '!Y8/100/3.6*1000000</f>
        <v>210.20921245650337</v>
      </c>
      <c r="O12" s="33"/>
      <c r="P12" s="33"/>
      <c r="R12" s="32"/>
    </row>
    <row r="13" spans="1:18">
      <c r="A13" s="16" t="s">
        <v>488</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7490.3651273468213</v>
      </c>
      <c r="C16" s="21">
        <f t="shared" ca="1" si="1"/>
        <v>62.357142857142847</v>
      </c>
      <c r="D16" s="21">
        <f t="shared" ca="1" si="1"/>
        <v>11358.248021628951</v>
      </c>
      <c r="E16" s="21">
        <f t="shared" si="1"/>
        <v>73.583480946395028</v>
      </c>
      <c r="F16" s="21">
        <f t="shared" ca="1" si="1"/>
        <v>1261.9110531141132</v>
      </c>
      <c r="G16" s="21">
        <f t="shared" si="1"/>
        <v>0</v>
      </c>
      <c r="H16" s="21">
        <f t="shared" si="1"/>
        <v>0</v>
      </c>
      <c r="I16" s="21">
        <f t="shared" si="1"/>
        <v>0</v>
      </c>
      <c r="J16" s="21">
        <f t="shared" si="1"/>
        <v>1.8269360587275733E-2</v>
      </c>
      <c r="K16" s="21">
        <f t="shared" si="1"/>
        <v>0</v>
      </c>
      <c r="L16" s="21">
        <f t="shared" ca="1" si="1"/>
        <v>0</v>
      </c>
      <c r="M16" s="21">
        <f t="shared" si="1"/>
        <v>0</v>
      </c>
      <c r="N16" s="21">
        <f t="shared" ca="1" si="1"/>
        <v>609.07697534922852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0.20921236696263934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1567.0770177066399</v>
      </c>
      <c r="C20" s="23">
        <f t="shared" ref="C20:P20" ca="1" si="2">C16*C18</f>
        <v>0</v>
      </c>
      <c r="D20" s="23">
        <f t="shared" ca="1" si="2"/>
        <v>2294.3661003690481</v>
      </c>
      <c r="E20" s="23">
        <f t="shared" si="2"/>
        <v>16.703450174831673</v>
      </c>
      <c r="F20" s="23">
        <f t="shared" ca="1" si="2"/>
        <v>336.93025118146824</v>
      </c>
      <c r="G20" s="23">
        <f t="shared" si="2"/>
        <v>0</v>
      </c>
      <c r="H20" s="23">
        <f t="shared" si="2"/>
        <v>0</v>
      </c>
      <c r="I20" s="23">
        <f t="shared" si="2"/>
        <v>0</v>
      </c>
      <c r="J20" s="23">
        <f t="shared" si="2"/>
        <v>6.467353647895609E-3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2340.2457880728302</v>
      </c>
      <c r="C26" s="39">
        <f>IF(ISERROR(B26*3.6/1000000/'E Balans VL '!Z12*100),0,B26*3.6/1000000/'E Balans VL '!Z12*100)</f>
        <v>4.9469088711078045E-2</v>
      </c>
      <c r="D26" s="237" t="s">
        <v>754</v>
      </c>
      <c r="F26" s="6"/>
    </row>
    <row r="27" spans="1:18">
      <c r="A27" s="231" t="s">
        <v>53</v>
      </c>
      <c r="B27" s="33">
        <f>IF(ISERROR(TER_horeca_ele_kWh/1000),0,TER_horeca_ele_kWh/1000)</f>
        <v>629.45345138990103</v>
      </c>
      <c r="C27" s="39">
        <f>IF(ISERROR(B27*3.6/1000000/'E Balans VL '!Z9*100),0,B27*3.6/1000000/'E Balans VL '!Z9*100)</f>
        <v>4.9619580963787331E-2</v>
      </c>
      <c r="D27" s="237" t="s">
        <v>754</v>
      </c>
      <c r="F27" s="6"/>
    </row>
    <row r="28" spans="1:18">
      <c r="A28" s="171" t="s">
        <v>52</v>
      </c>
      <c r="B28" s="33">
        <f>IF(ISERROR(TER_handel_ele_kWh/1000),0,TER_handel_ele_kWh/1000)</f>
        <v>1015.69631207415</v>
      </c>
      <c r="C28" s="39">
        <f>IF(ISERROR(B28*3.6/1000000/'E Balans VL '!Z13*100),0,B28*3.6/1000000/'E Balans VL '!Z13*100)</f>
        <v>2.947961084935663E-2</v>
      </c>
      <c r="D28" s="237" t="s">
        <v>754</v>
      </c>
      <c r="F28" s="6"/>
    </row>
    <row r="29" spans="1:18">
      <c r="A29" s="231" t="s">
        <v>51</v>
      </c>
      <c r="B29" s="33">
        <f>IF(ISERROR(TER_gezond_ele_kWh/1000),0,TER_gezond_ele_kWh/1000)</f>
        <v>690.938663254777</v>
      </c>
      <c r="C29" s="39">
        <f>IF(ISERROR(B29*3.6/1000000/'E Balans VL '!Z10*100),0,B29*3.6/1000000/'E Balans VL '!Z10*100)</f>
        <v>7.2767186753056323E-2</v>
      </c>
      <c r="D29" s="237" t="s">
        <v>754</v>
      </c>
      <c r="F29" s="6"/>
    </row>
    <row r="30" spans="1:18">
      <c r="A30" s="231" t="s">
        <v>50</v>
      </c>
      <c r="B30" s="33">
        <f>IF(ISERROR(TER_ander_ele_kWh/1000),0,TER_ander_ele_kWh/1000)</f>
        <v>599.48561787703295</v>
      </c>
      <c r="C30" s="39">
        <f>IF(ISERROR(B30*3.6/1000000/'E Balans VL '!Z14*100),0,B30*3.6/1000000/'E Balans VL '!Z14*100)</f>
        <v>4.4218189382238454E-2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2170.8952946781301</v>
      </c>
      <c r="C32" s="39">
        <f>IF(ISERROR(B32*3.6/1000000/'E Balans VL '!Z8*100),0,B32*3.6/1000000/'E Balans VL '!Z8*100)</f>
        <v>1.7863586704616581E-2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942.804332117341</v>
      </c>
      <c r="C5" s="17">
        <f>IF(ISERROR('Eigen informatie GS &amp; warmtenet'!B59),0,'Eigen informatie GS &amp; warmtenet'!B59)</f>
        <v>0</v>
      </c>
      <c r="D5" s="30">
        <f>SUM(D6:D15)</f>
        <v>1531.384528357549</v>
      </c>
      <c r="E5" s="17">
        <f>SUM(E6:E15)</f>
        <v>59.752337940091437</v>
      </c>
      <c r="F5" s="17">
        <f>SUM(F6:F15)</f>
        <v>207.0447490958918</v>
      </c>
      <c r="G5" s="18"/>
      <c r="H5" s="17"/>
      <c r="I5" s="17"/>
      <c r="J5" s="17">
        <f>SUM(J6:J15)</f>
        <v>0.69489433439881887</v>
      </c>
      <c r="K5" s="17"/>
      <c r="L5" s="17"/>
      <c r="M5" s="17"/>
      <c r="N5" s="17">
        <f>SUM(N6:N15)</f>
        <v>137.95050324108638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163.508218031392</v>
      </c>
      <c r="C9" s="33"/>
      <c r="D9" s="37">
        <f>IF( ISERROR(IND_andere_gas_kWh/1000),0,IND_andere_gas_kWh/1000)*0.902</f>
        <v>328.02240683849033</v>
      </c>
      <c r="E9" s="33">
        <f>C31*'E Balans VL '!I19/100/3.6*1000000</f>
        <v>47.796635260132987</v>
      </c>
      <c r="F9" s="33">
        <f>C31*'E Balans VL '!L19/100/3.6*1000000+C31*'E Balans VL '!N19/100/3.6*1000000</f>
        <v>131.3912296231083</v>
      </c>
      <c r="G9" s="34"/>
      <c r="H9" s="33"/>
      <c r="I9" s="33"/>
      <c r="J9" s="40">
        <f>C31*'E Balans VL '!D19/100/3.6*1000000+C31*'E Balans VL '!E19/100/3.6*1000000</f>
        <v>0</v>
      </c>
      <c r="K9" s="33"/>
      <c r="L9" s="33"/>
      <c r="M9" s="33"/>
      <c r="N9" s="33">
        <f>C31*'E Balans VL '!Y19/100/3.6*1000000</f>
        <v>54.025651070242894</v>
      </c>
      <c r="O9" s="33"/>
      <c r="P9" s="33"/>
      <c r="R9" s="32"/>
    </row>
    <row r="10" spans="1:18">
      <c r="A10" s="6" t="s">
        <v>41</v>
      </c>
      <c r="B10" s="37">
        <f t="shared" si="0"/>
        <v>585.19052038803409</v>
      </c>
      <c r="C10" s="33"/>
      <c r="D10" s="37">
        <f>IF( ISERROR(IND_voed_gas_kWh/1000),0,IND_voed_gas_kWh/1000)*0.902</f>
        <v>848.57322055689588</v>
      </c>
      <c r="E10" s="33">
        <f>C32*'E Balans VL '!I20/100/3.6*1000000</f>
        <v>1.2379796193673702</v>
      </c>
      <c r="F10" s="33">
        <f>C32*'E Balans VL '!L20/100/3.6*1000000+C32*'E Balans VL '!N20/100/3.6*1000000</f>
        <v>37.207011040858895</v>
      </c>
      <c r="G10" s="34"/>
      <c r="H10" s="33"/>
      <c r="I10" s="33"/>
      <c r="J10" s="40">
        <f>C32*'E Balans VL '!D20/100/3.6*1000000+C32*'E Balans VL '!E20/100/3.6*1000000</f>
        <v>0</v>
      </c>
      <c r="K10" s="33"/>
      <c r="L10" s="33"/>
      <c r="M10" s="33"/>
      <c r="N10" s="33">
        <f>C32*'E Balans VL '!Y20/100/3.6*1000000</f>
        <v>40.383920707934394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194.105593697915</v>
      </c>
      <c r="C15" s="33"/>
      <c r="D15" s="37">
        <f>IF( ISERROR(IND_rest_gas_kWh/1000),0,IND_rest_gas_kWh/1000)*0.902</f>
        <v>354.78890096216287</v>
      </c>
      <c r="E15" s="33">
        <f>C37*'E Balans VL '!I15/100/3.6*1000000</f>
        <v>10.71772306059108</v>
      </c>
      <c r="F15" s="33">
        <f>C37*'E Balans VL '!L15/100/3.6*1000000+C37*'E Balans VL '!N15/100/3.6*1000000</f>
        <v>38.446508431924613</v>
      </c>
      <c r="G15" s="34"/>
      <c r="H15" s="33"/>
      <c r="I15" s="33"/>
      <c r="J15" s="40">
        <f>C37*'E Balans VL '!D15/100/3.6*1000000+C37*'E Balans VL '!E15/100/3.6*1000000</f>
        <v>0.69489433439881887</v>
      </c>
      <c r="K15" s="33"/>
      <c r="L15" s="33"/>
      <c r="M15" s="33"/>
      <c r="N15" s="33">
        <f>C37*'E Balans VL '!Y15/100/3.6*1000000</f>
        <v>43.5409314629091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942.804332117341</v>
      </c>
      <c r="C18" s="21">
        <f>C5+C16</f>
        <v>0</v>
      </c>
      <c r="D18" s="21">
        <f>MAX((D5+D16),0)</f>
        <v>1531.384528357549</v>
      </c>
      <c r="E18" s="21">
        <f>MAX((E5+E16),0)</f>
        <v>59.752337940091437</v>
      </c>
      <c r="F18" s="21">
        <f>MAX((F5+F16),0)</f>
        <v>207.0447490958918</v>
      </c>
      <c r="G18" s="21"/>
      <c r="H18" s="21"/>
      <c r="I18" s="21"/>
      <c r="J18" s="21">
        <f>MAX((J5+J16),0)</f>
        <v>0.69489433439881887</v>
      </c>
      <c r="K18" s="21"/>
      <c r="L18" s="21">
        <f>MAX((L5+L16),0)</f>
        <v>0</v>
      </c>
      <c r="M18" s="21"/>
      <c r="N18" s="21">
        <f>MAX((N5+N16),0)</f>
        <v>137.95050324108638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0.20921236696263934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197.24632590489924</v>
      </c>
      <c r="C22" s="23">
        <f ca="1">C18*C20</f>
        <v>0</v>
      </c>
      <c r="D22" s="23">
        <f>D18*D20</f>
        <v>309.33967472822491</v>
      </c>
      <c r="E22" s="23">
        <f>E18*E20</f>
        <v>13.563780712400757</v>
      </c>
      <c r="F22" s="23">
        <f>F18*F20</f>
        <v>55.280948008603112</v>
      </c>
      <c r="G22" s="23"/>
      <c r="H22" s="23"/>
      <c r="I22" s="23"/>
      <c r="J22" s="23">
        <f>J18*J20</f>
        <v>0.24599259437718188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163.508218031392</v>
      </c>
      <c r="C31" s="39">
        <f>IF(ISERROR(B31*3.6/1000000/'E Balans VL '!Z19*100),0,B31*3.6/1000000/'E Balans VL '!Z19*100)</f>
        <v>7.4160519335338074E-3</v>
      </c>
      <c r="D31" s="237" t="s">
        <v>754</v>
      </c>
    </row>
    <row r="32" spans="1:18">
      <c r="A32" s="171" t="s">
        <v>41</v>
      </c>
      <c r="B32" s="37">
        <f>IF( ISERROR(IND_voed_ele_kWh/1000),0,IND_voed_ele_kWh/1000)</f>
        <v>585.19052038803409</v>
      </c>
      <c r="C32" s="39">
        <f>IF(ISERROR(B32*3.6/1000000/'E Balans VL '!Z20*100),0,B32*3.6/1000000/'E Balans VL '!Z20*100)</f>
        <v>1.8102599336258136E-2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194.105593697915</v>
      </c>
      <c r="C37" s="39">
        <f>IF(ISERROR(B37*3.6/1000000/'E Balans VL '!Z15*100),0,B37*3.6/1000000/'E Balans VL '!Z15*100)</f>
        <v>1.5385252143965357E-3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266.83319640090298</v>
      </c>
      <c r="C5" s="17">
        <f>'Eigen informatie GS &amp; warmtenet'!B60</f>
        <v>0</v>
      </c>
      <c r="D5" s="30">
        <f>IF(ISERROR(SUM(LB_lb_gas_kWh,LB_rest_gas_kWh,onbekend_gas_kWh)/1000),0,SUM(LB_lb_gas_kWh,LB_rest_gas_kWh,onbekend_gas_kWh)/1000)*0.902</f>
        <v>1319.2436046449425</v>
      </c>
      <c r="E5" s="17">
        <f>B17*'E Balans VL '!I25/3.6*1000000/100</f>
        <v>7.843042644873174</v>
      </c>
      <c r="F5" s="17">
        <f>B17*('E Balans VL '!L25/3.6*1000000+'E Balans VL '!N25/3.6*1000000)/100</f>
        <v>1111.6126772970433</v>
      </c>
      <c r="G5" s="18"/>
      <c r="H5" s="17"/>
      <c r="I5" s="17"/>
      <c r="J5" s="17">
        <f>('E Balans VL '!D25+'E Balans VL '!E25)/3.6*1000000*landbouw!B17/100</f>
        <v>38.658399850003939</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266.83319640090298</v>
      </c>
      <c r="C8" s="21">
        <f>C5+C6</f>
        <v>62.357142857142847</v>
      </c>
      <c r="D8" s="21">
        <f>MAX((D5+D6),0)</f>
        <v>1319.2436046449425</v>
      </c>
      <c r="E8" s="21">
        <f>MAX((E5+E6),0)</f>
        <v>7.843042644873174</v>
      </c>
      <c r="F8" s="21">
        <f>MAX((F5+F6),0)</f>
        <v>1111.6126772970433</v>
      </c>
      <c r="G8" s="21"/>
      <c r="H8" s="21"/>
      <c r="I8" s="21"/>
      <c r="J8" s="21">
        <f>MAX((J5+J6),0)</f>
        <v>38.658399850003939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0.20921236696263934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55.824804603239727</v>
      </c>
      <c r="C12" s="23">
        <f ca="1">C8*C10</f>
        <v>0</v>
      </c>
      <c r="D12" s="23">
        <f>D8*D10</f>
        <v>266.48720813827839</v>
      </c>
      <c r="E12" s="23">
        <f>E8*E10</f>
        <v>1.7803706803862105</v>
      </c>
      <c r="F12" s="23">
        <f>F8*F10</f>
        <v>296.80058483831056</v>
      </c>
      <c r="G12" s="23"/>
      <c r="H12" s="23"/>
      <c r="I12" s="23"/>
      <c r="J12" s="23">
        <f>J8*J10</f>
        <v>13.685073546901393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3.7864467732910953E-2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109.1139308030187</v>
      </c>
      <c r="C26" s="247">
        <f>B26*'GWP N2O_CH4'!B5</f>
        <v>2291.3925468633929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22.400919500475482</v>
      </c>
      <c r="C27" s="247">
        <f>B27*'GWP N2O_CH4'!B5</f>
        <v>470.41930950998511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1.0905791882754081</v>
      </c>
      <c r="C28" s="247">
        <f>B28*'GWP N2O_CH4'!B4</f>
        <v>338.07954836537652</v>
      </c>
      <c r="D28" s="50"/>
    </row>
    <row r="29" spans="1:4">
      <c r="A29" s="41" t="s">
        <v>277</v>
      </c>
      <c r="B29" s="247">
        <f>B34*'ha_N2O bodem landbouw'!B4</f>
        <v>0.98504479429191449</v>
      </c>
      <c r="C29" s="247">
        <f>B29*'GWP N2O_CH4'!B4</f>
        <v>305.36388623049351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2.2478382744203724E-4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2.4757872436271535E-5</v>
      </c>
      <c r="C5" s="463" t="s">
        <v>211</v>
      </c>
      <c r="D5" s="448">
        <f>SUM(D6:D11)</f>
        <v>8.5898483055893581E-5</v>
      </c>
      <c r="E5" s="448">
        <f>SUM(E6:E11)</f>
        <v>1.1466476269327293E-4</v>
      </c>
      <c r="F5" s="461" t="s">
        <v>211</v>
      </c>
      <c r="G5" s="448">
        <f>SUM(G6:G11)</f>
        <v>3.310206269450755E-2</v>
      </c>
      <c r="H5" s="448">
        <f>SUM(H6:H11)</f>
        <v>9.684130170193931E-3</v>
      </c>
      <c r="I5" s="463" t="s">
        <v>211</v>
      </c>
      <c r="J5" s="463" t="s">
        <v>211</v>
      </c>
      <c r="K5" s="463" t="s">
        <v>211</v>
      </c>
      <c r="L5" s="463" t="s">
        <v>211</v>
      </c>
      <c r="M5" s="448">
        <f>SUM(M6:M11)</f>
        <v>2.2214053715759051E-3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1.9770239608416986E-5</v>
      </c>
      <c r="C6" s="449"/>
      <c r="D6" s="962">
        <f>vkm_2011_GW_PW*SUMIFS(TableVerdeelsleutelVkm[CNG],TableVerdeelsleutelVkm[Voertuigtype],"Lichte voertuigen")*SUMIFS(TableECFTransport[EnergieConsumptieFactor (PJ per km)],TableECFTransport[Index],CONCATENATE($A6,"_CNG_CNG"))</f>
        <v>5.9299371739857805E-5</v>
      </c>
      <c r="E6" s="962">
        <f>vkm_2011_GW_PW*SUMIFS(TableVerdeelsleutelVkm[LPG],TableVerdeelsleutelVkm[Voertuigtype],"Lichte voertuigen")*SUMIFS(TableECFTransport[EnergieConsumptieFactor (PJ per km)],TableECFTransport[Index],CONCATENATE($A6,"_LPG_LPG"))</f>
        <v>8.1011459731613144E-5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2.0945849863561388E-2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6.7434415282627749E-3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1.4238957614854844E-3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3.9823053923661684E-3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1.2135134744429356E-6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2.3271270388240014E-4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4.9876328278545513E-6</v>
      </c>
      <c r="C8" s="449"/>
      <c r="D8" s="451">
        <f>vkm_2011_NGW_PW*SUMIFS(TableVerdeelsleutelVkm[CNG],TableVerdeelsleutelVkm[Voertuigtype],"Lichte voertuigen")*SUMIFS(TableECFTransport[EnergieConsumptieFactor (PJ per km)],TableECFTransport[Index],CONCATENATE($A8,"_CNG_CNG"))</f>
        <v>2.6599111316035779E-5</v>
      </c>
      <c r="E8" s="451">
        <f>vkm_2011_NGW_PW*SUMIFS(TableVerdeelsleutelVkm[LPG],TableVerdeelsleutelVkm[Voertuigtype],"Lichte voertuigen")*SUMIFS(TableECFTransport[EnergieConsumptieFactor (PJ per km)],TableECFTransport[Index],CONCATENATE($A8,"_LPG_LPG"))</f>
        <v>3.3653302961659792E-5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8.1085990935980869E-3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2.9394563932205841E-3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5.6098053797731199E-4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6.5308344981901965E-5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1.8735236129553363E-8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3.8163682307088621E-6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6.8771867878532049</v>
      </c>
      <c r="C14" s="21"/>
      <c r="D14" s="21">
        <f t="shared" ref="D14:M14" si="0">((D5)*10^9/3600)+D12</f>
        <v>23.860689737748217</v>
      </c>
      <c r="E14" s="21">
        <f t="shared" si="0"/>
        <v>31.851322970353593</v>
      </c>
      <c r="F14" s="21"/>
      <c r="G14" s="21">
        <f t="shared" si="0"/>
        <v>9195.0174151409865</v>
      </c>
      <c r="H14" s="21">
        <f t="shared" si="0"/>
        <v>2690.0361583872032</v>
      </c>
      <c r="I14" s="21"/>
      <c r="J14" s="21"/>
      <c r="K14" s="21"/>
      <c r="L14" s="21"/>
      <c r="M14" s="21">
        <f t="shared" si="0"/>
        <v>617.05704765997359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0.20921236696263934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1.4387925259309595</v>
      </c>
      <c r="C18" s="23"/>
      <c r="D18" s="23">
        <f t="shared" ref="D18:M18" si="1">D14*D16</f>
        <v>4.8198593270251404</v>
      </c>
      <c r="E18" s="23">
        <f t="shared" si="1"/>
        <v>7.2302503142702657</v>
      </c>
      <c r="F18" s="23"/>
      <c r="G18" s="23">
        <f t="shared" si="1"/>
        <v>2455.0696498426437</v>
      </c>
      <c r="H18" s="23">
        <f t="shared" si="1"/>
        <v>669.81900343841357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3.1476349644178891E-3</v>
      </c>
      <c r="H50" s="321">
        <f t="shared" si="2"/>
        <v>0</v>
      </c>
      <c r="I50" s="321">
        <f t="shared" si="2"/>
        <v>0</v>
      </c>
      <c r="J50" s="321">
        <f t="shared" si="2"/>
        <v>0</v>
      </c>
      <c r="K50" s="321">
        <f t="shared" si="2"/>
        <v>0</v>
      </c>
      <c r="L50" s="321">
        <f t="shared" si="2"/>
        <v>0</v>
      </c>
      <c r="M50" s="321">
        <f t="shared" si="2"/>
        <v>1.7877177050395495E-4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3.1476349644178891E-3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1.7877177050395495E-4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874.34304567163588</v>
      </c>
      <c r="H54" s="21">
        <f t="shared" si="3"/>
        <v>0</v>
      </c>
      <c r="I54" s="21">
        <f t="shared" si="3"/>
        <v>0</v>
      </c>
      <c r="J54" s="21">
        <f t="shared" si="3"/>
        <v>0</v>
      </c>
      <c r="K54" s="21">
        <f t="shared" si="3"/>
        <v>0</v>
      </c>
      <c r="L54" s="21">
        <f t="shared" si="3"/>
        <v>0</v>
      </c>
      <c r="M54" s="21">
        <f t="shared" si="3"/>
        <v>49.658825139987492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0.20921236696263934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233.44959319432678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1142.0732986136293</v>
      </c>
      <c r="C6" s="1263"/>
      <c r="D6" s="1248"/>
      <c r="E6" s="1248"/>
      <c r="F6" s="1266"/>
      <c r="G6" s="1269"/>
      <c r="H6" s="1260"/>
      <c r="I6" s="1248"/>
      <c r="J6" s="1248"/>
      <c r="K6" s="1248"/>
      <c r="L6" s="1252"/>
      <c r="M6" s="575"/>
      <c r="N6" s="1226"/>
      <c r="O6" s="1227"/>
      <c r="Q6" s="573"/>
      <c r="R6" s="1214"/>
      <c r="S6" s="1214"/>
    </row>
    <row r="7" spans="1:19" s="563" customFormat="1">
      <c r="A7" s="576" t="s">
        <v>252</v>
      </c>
      <c r="B7" s="577">
        <f>N57</f>
        <v>87.299999999999983</v>
      </c>
      <c r="C7" s="578">
        <f>B100</f>
        <v>0</v>
      </c>
      <c r="D7" s="579"/>
      <c r="E7" s="579">
        <f>E100</f>
        <v>0</v>
      </c>
      <c r="F7" s="580"/>
      <c r="G7" s="581"/>
      <c r="H7" s="579">
        <f>I100</f>
        <v>0</v>
      </c>
      <c r="I7" s="579">
        <f>G100+F100</f>
        <v>0</v>
      </c>
      <c r="J7" s="579">
        <f>H100+D100+C100</f>
        <v>102.70588235294116</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1229.3732986136292</v>
      </c>
      <c r="C9" s="594">
        <f t="shared" ref="C9:L9" si="0">SUM(C7:C8)</f>
        <v>0</v>
      </c>
      <c r="D9" s="594">
        <f t="shared" si="0"/>
        <v>0</v>
      </c>
      <c r="E9" s="594">
        <f t="shared" si="0"/>
        <v>0</v>
      </c>
      <c r="F9" s="594">
        <f t="shared" si="0"/>
        <v>0</v>
      </c>
      <c r="G9" s="594">
        <f t="shared" si="0"/>
        <v>0</v>
      </c>
      <c r="H9" s="594">
        <f t="shared" si="0"/>
        <v>0</v>
      </c>
      <c r="I9" s="594">
        <f t="shared" si="0"/>
        <v>0</v>
      </c>
      <c r="J9" s="594">
        <f t="shared" si="0"/>
        <v>102.70588235294116</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124.71428571428569</v>
      </c>
      <c r="C16" s="610">
        <f>B101</f>
        <v>0</v>
      </c>
      <c r="D16" s="611"/>
      <c r="E16" s="611">
        <f>E101</f>
        <v>0</v>
      </c>
      <c r="F16" s="612"/>
      <c r="G16" s="613"/>
      <c r="H16" s="610">
        <f>I101</f>
        <v>0</v>
      </c>
      <c r="I16" s="611">
        <f>G101+F101</f>
        <v>0</v>
      </c>
      <c r="J16" s="611">
        <f>H101+D101+C101</f>
        <v>146.72268907563023</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124.71428571428569</v>
      </c>
      <c r="C19" s="593">
        <f>SUM(C16:C18)</f>
        <v>0</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11021</v>
      </c>
      <c r="C27" s="851">
        <v>2540</v>
      </c>
      <c r="D27" s="672" t="s">
        <v>844</v>
      </c>
      <c r="E27" s="671" t="s">
        <v>845</v>
      </c>
      <c r="F27" s="671" t="s">
        <v>846</v>
      </c>
      <c r="G27" s="671" t="s">
        <v>847</v>
      </c>
      <c r="H27" s="671" t="s">
        <v>848</v>
      </c>
      <c r="I27" s="671" t="s">
        <v>849</v>
      </c>
      <c r="J27" s="850">
        <v>40545</v>
      </c>
      <c r="K27" s="850">
        <v>40634</v>
      </c>
      <c r="L27" s="671" t="s">
        <v>850</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1600</v>
      </c>
      <c r="Y27" s="671" t="s">
        <v>50</v>
      </c>
      <c r="Z27" s="673" t="s">
        <v>156</v>
      </c>
    </row>
    <row r="28" spans="1:26" s="625" customFormat="1" ht="25.5">
      <c r="A28" s="624"/>
      <c r="B28" s="851">
        <v>11021</v>
      </c>
      <c r="C28" s="851">
        <v>2540</v>
      </c>
      <c r="D28" s="672" t="s">
        <v>844</v>
      </c>
      <c r="E28" s="671" t="s">
        <v>845</v>
      </c>
      <c r="F28" s="671" t="s">
        <v>851</v>
      </c>
      <c r="G28" s="671" t="s">
        <v>847</v>
      </c>
      <c r="H28" s="671" t="s">
        <v>848</v>
      </c>
      <c r="I28" s="671" t="s">
        <v>852</v>
      </c>
      <c r="J28" s="850">
        <v>41071</v>
      </c>
      <c r="K28" s="850">
        <v>41214</v>
      </c>
      <c r="L28" s="671" t="s">
        <v>850</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19.399999999999999</v>
      </c>
      <c r="N57" s="629">
        <f>SUM(N27:N56)</f>
        <v>87.299999999999983</v>
      </c>
      <c r="O57" s="629">
        <f t="shared" ref="O57:W57" si="2">SUM(O27:O56)</f>
        <v>124.71428571428569</v>
      </c>
      <c r="P57" s="629">
        <f t="shared" si="2"/>
        <v>0</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9.6999999999999993</v>
      </c>
      <c r="N59" s="629">
        <f ca="1">SUMIF($Z$27:AB56,"tertiair",N27:N56)</f>
        <v>43.649999999999991</v>
      </c>
      <c r="O59" s="629">
        <f ca="1">SUMIF($Z$27:AC56,"tertiair",O27:O56)</f>
        <v>62.357142857142847</v>
      </c>
      <c r="P59" s="629">
        <f ca="1">SUMIF($Z$27:AD56,"tertiair",P27:P56)</f>
        <v>0</v>
      </c>
      <c r="Q59" s="629">
        <f ca="1">SUMIF($Z$27:AE56,"tertiair",Q27:Q56)</f>
        <v>124.71428571428569</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102.70588235294116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8115.2911273468217</v>
      </c>
      <c r="D10" s="718">
        <f ca="1">tertiair!C16</f>
        <v>62.357142857142847</v>
      </c>
      <c r="E10" s="718">
        <f ca="1">tertiair!D16</f>
        <v>11358.248021628951</v>
      </c>
      <c r="F10" s="718">
        <f>tertiair!E16</f>
        <v>73.583480946395028</v>
      </c>
      <c r="G10" s="718">
        <f ca="1">tertiair!F16</f>
        <v>1261.9110531141132</v>
      </c>
      <c r="H10" s="718">
        <f>tertiair!G16</f>
        <v>0</v>
      </c>
      <c r="I10" s="718">
        <f>tertiair!H16</f>
        <v>0</v>
      </c>
      <c r="J10" s="718">
        <f>tertiair!I16</f>
        <v>0</v>
      </c>
      <c r="K10" s="718">
        <f>tertiair!J16</f>
        <v>1.8269360587275733E-2</v>
      </c>
      <c r="L10" s="718">
        <f>tertiair!K16</f>
        <v>0</v>
      </c>
      <c r="M10" s="718">
        <f ca="1">tertiair!L16</f>
        <v>0</v>
      </c>
      <c r="N10" s="718">
        <f>tertiair!M16</f>
        <v>0</v>
      </c>
      <c r="O10" s="718">
        <f ca="1">tertiair!N16</f>
        <v>609.07697534922852</v>
      </c>
      <c r="P10" s="718">
        <f>tertiair!O16</f>
        <v>1.5633333333333335</v>
      </c>
      <c r="Q10" s="719">
        <f>tertiair!P16</f>
        <v>0</v>
      </c>
      <c r="R10" s="721">
        <f ca="1">SUM(C10:Q10)</f>
        <v>21482.049403936569</v>
      </c>
      <c r="S10" s="67"/>
    </row>
    <row r="11" spans="1:19" s="474" customFormat="1">
      <c r="A11" s="870" t="s">
        <v>225</v>
      </c>
      <c r="B11" s="875"/>
      <c r="C11" s="718">
        <f>huishoudens!B8</f>
        <v>13717.053765759731</v>
      </c>
      <c r="D11" s="718">
        <f>huishoudens!C8</f>
        <v>0</v>
      </c>
      <c r="E11" s="718">
        <f>huishoudens!D8</f>
        <v>47510.20049208682</v>
      </c>
      <c r="F11" s="718">
        <f>huishoudens!E8</f>
        <v>174.98706107746756</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1789.0392140888457</v>
      </c>
      <c r="P11" s="718">
        <f>huishoudens!O8</f>
        <v>103.17999999999999</v>
      </c>
      <c r="Q11" s="719">
        <f>huishoudens!P8</f>
        <v>1410.9333333333334</v>
      </c>
      <c r="R11" s="721">
        <f>SUM(C11:Q11)</f>
        <v>64705.393866346196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942.804332117341</v>
      </c>
      <c r="D13" s="718">
        <f>industrie!C18</f>
        <v>0</v>
      </c>
      <c r="E13" s="718">
        <f>industrie!D18</f>
        <v>1531.384528357549</v>
      </c>
      <c r="F13" s="718">
        <f>industrie!E18</f>
        <v>59.752337940091437</v>
      </c>
      <c r="G13" s="718">
        <f>industrie!F18</f>
        <v>207.0447490958918</v>
      </c>
      <c r="H13" s="718">
        <f>industrie!G18</f>
        <v>0</v>
      </c>
      <c r="I13" s="718">
        <f>industrie!H18</f>
        <v>0</v>
      </c>
      <c r="J13" s="718">
        <f>industrie!I18</f>
        <v>0</v>
      </c>
      <c r="K13" s="718">
        <f>industrie!J18</f>
        <v>0.69489433439881887</v>
      </c>
      <c r="L13" s="718">
        <f>industrie!K18</f>
        <v>0</v>
      </c>
      <c r="M13" s="718">
        <f>industrie!L18</f>
        <v>0</v>
      </c>
      <c r="N13" s="718">
        <f>industrie!M18</f>
        <v>0</v>
      </c>
      <c r="O13" s="718">
        <f>industrie!N18</f>
        <v>137.95050324108638</v>
      </c>
      <c r="P13" s="718">
        <f>industrie!O18</f>
        <v>0</v>
      </c>
      <c r="Q13" s="719">
        <f>industrie!P18</f>
        <v>0</v>
      </c>
      <c r="R13" s="721">
        <f>SUM(C13:Q13)</f>
        <v>2879.6313450863581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22775.149225223893</v>
      </c>
      <c r="D15" s="723">
        <f t="shared" ref="D15:Q15" ca="1" si="0">SUM(D9:D14)</f>
        <v>62.357142857142847</v>
      </c>
      <c r="E15" s="723">
        <f t="shared" ca="1" si="0"/>
        <v>60399.833042073325</v>
      </c>
      <c r="F15" s="723">
        <f t="shared" si="0"/>
        <v>308.32287996395399</v>
      </c>
      <c r="G15" s="723">
        <f t="shared" ca="1" si="0"/>
        <v>1468.955802210005</v>
      </c>
      <c r="H15" s="723">
        <f t="shared" si="0"/>
        <v>0</v>
      </c>
      <c r="I15" s="723">
        <f t="shared" si="0"/>
        <v>0</v>
      </c>
      <c r="J15" s="723">
        <f t="shared" si="0"/>
        <v>0</v>
      </c>
      <c r="K15" s="723">
        <f t="shared" si="0"/>
        <v>0.71316369498609455</v>
      </c>
      <c r="L15" s="723">
        <f t="shared" si="0"/>
        <v>0</v>
      </c>
      <c r="M15" s="723">
        <f t="shared" ca="1" si="0"/>
        <v>0</v>
      </c>
      <c r="N15" s="723">
        <f t="shared" si="0"/>
        <v>0</v>
      </c>
      <c r="O15" s="723">
        <f t="shared" ca="1" si="0"/>
        <v>2536.066692679161</v>
      </c>
      <c r="P15" s="723">
        <f t="shared" si="0"/>
        <v>104.74333333333333</v>
      </c>
      <c r="Q15" s="724">
        <f t="shared" si="0"/>
        <v>1410.9333333333334</v>
      </c>
      <c r="R15" s="725">
        <f ca="1">SUM(R9:R14)</f>
        <v>89067.074615369114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874.34304567163588</v>
      </c>
      <c r="I18" s="718">
        <f>transport!H54</f>
        <v>0</v>
      </c>
      <c r="J18" s="718">
        <f>transport!I54</f>
        <v>0</v>
      </c>
      <c r="K18" s="718">
        <f>transport!J54</f>
        <v>0</v>
      </c>
      <c r="L18" s="718">
        <f>transport!K54</f>
        <v>0</v>
      </c>
      <c r="M18" s="718">
        <f>transport!L54</f>
        <v>0</v>
      </c>
      <c r="N18" s="718">
        <f>transport!M54</f>
        <v>49.658825139987492</v>
      </c>
      <c r="O18" s="718">
        <f>transport!N54</f>
        <v>0</v>
      </c>
      <c r="P18" s="718">
        <f>transport!O54</f>
        <v>0</v>
      </c>
      <c r="Q18" s="719">
        <f>transport!P54</f>
        <v>0</v>
      </c>
      <c r="R18" s="721">
        <f>SUM(C18:Q18)</f>
        <v>924.00187081162335</v>
      </c>
      <c r="S18" s="67"/>
    </row>
    <row r="19" spans="1:19" s="474" customFormat="1" ht="15" thickBot="1">
      <c r="A19" s="870" t="s">
        <v>307</v>
      </c>
      <c r="B19" s="875"/>
      <c r="C19" s="727">
        <f>transport!B14</f>
        <v>6.8771867878532049</v>
      </c>
      <c r="D19" s="727">
        <f>transport!C14</f>
        <v>0</v>
      </c>
      <c r="E19" s="727">
        <f>transport!D14</f>
        <v>23.860689737748217</v>
      </c>
      <c r="F19" s="727">
        <f>transport!E14</f>
        <v>31.851322970353593</v>
      </c>
      <c r="G19" s="727">
        <f>transport!F14</f>
        <v>0</v>
      </c>
      <c r="H19" s="727">
        <f>transport!G14</f>
        <v>9195.0174151409865</v>
      </c>
      <c r="I19" s="727">
        <f>transport!H14</f>
        <v>2690.0361583872032</v>
      </c>
      <c r="J19" s="727">
        <f>transport!I14</f>
        <v>0</v>
      </c>
      <c r="K19" s="727">
        <f>transport!J14</f>
        <v>0</v>
      </c>
      <c r="L19" s="727">
        <f>transport!K14</f>
        <v>0</v>
      </c>
      <c r="M19" s="727">
        <f>transport!L14</f>
        <v>0</v>
      </c>
      <c r="N19" s="727">
        <f>transport!M14</f>
        <v>617.05704765997359</v>
      </c>
      <c r="O19" s="727">
        <f>transport!N14</f>
        <v>0</v>
      </c>
      <c r="P19" s="727">
        <f>transport!O14</f>
        <v>0</v>
      </c>
      <c r="Q19" s="728">
        <f>transport!P14</f>
        <v>0</v>
      </c>
      <c r="R19" s="729">
        <f>SUM(C19:Q19)</f>
        <v>12564.699820684118</v>
      </c>
      <c r="S19" s="67"/>
    </row>
    <row r="20" spans="1:19" s="474" customFormat="1" ht="15.75" thickBot="1">
      <c r="A20" s="730" t="s">
        <v>230</v>
      </c>
      <c r="B20" s="878"/>
      <c r="C20" s="873">
        <f>SUM(C17:C19)</f>
        <v>6.8771867878532049</v>
      </c>
      <c r="D20" s="731">
        <f t="shared" ref="D20:R20" si="1">SUM(D17:D19)</f>
        <v>0</v>
      </c>
      <c r="E20" s="731">
        <f t="shared" si="1"/>
        <v>23.860689737748217</v>
      </c>
      <c r="F20" s="731">
        <f t="shared" si="1"/>
        <v>31.851322970353593</v>
      </c>
      <c r="G20" s="731">
        <f t="shared" si="1"/>
        <v>0</v>
      </c>
      <c r="H20" s="731">
        <f t="shared" si="1"/>
        <v>10069.360460812622</v>
      </c>
      <c r="I20" s="731">
        <f t="shared" si="1"/>
        <v>2690.0361583872032</v>
      </c>
      <c r="J20" s="731">
        <f t="shared" si="1"/>
        <v>0</v>
      </c>
      <c r="K20" s="731">
        <f t="shared" si="1"/>
        <v>0</v>
      </c>
      <c r="L20" s="731">
        <f t="shared" si="1"/>
        <v>0</v>
      </c>
      <c r="M20" s="731">
        <f t="shared" si="1"/>
        <v>0</v>
      </c>
      <c r="N20" s="731">
        <f t="shared" si="1"/>
        <v>666.71587279996106</v>
      </c>
      <c r="O20" s="731">
        <f t="shared" si="1"/>
        <v>0</v>
      </c>
      <c r="P20" s="731">
        <f t="shared" si="1"/>
        <v>0</v>
      </c>
      <c r="Q20" s="732">
        <f t="shared" si="1"/>
        <v>0</v>
      </c>
      <c r="R20" s="733">
        <f t="shared" si="1"/>
        <v>13488.701691495742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266.83319640090298</v>
      </c>
      <c r="D22" s="727">
        <f>+landbouw!C8</f>
        <v>62.357142857142847</v>
      </c>
      <c r="E22" s="727">
        <f>+landbouw!D8</f>
        <v>1319.2436046449425</v>
      </c>
      <c r="F22" s="727">
        <f>+landbouw!E8</f>
        <v>7.843042644873174</v>
      </c>
      <c r="G22" s="727">
        <f>+landbouw!F8</f>
        <v>1111.6126772970433</v>
      </c>
      <c r="H22" s="727">
        <f>+landbouw!G8</f>
        <v>0</v>
      </c>
      <c r="I22" s="727">
        <f>+landbouw!H8</f>
        <v>0</v>
      </c>
      <c r="J22" s="727">
        <f>+landbouw!I8</f>
        <v>0</v>
      </c>
      <c r="K22" s="727">
        <f>+landbouw!J8</f>
        <v>38.658399850003939</v>
      </c>
      <c r="L22" s="727">
        <f>+landbouw!K8</f>
        <v>0</v>
      </c>
      <c r="M22" s="727">
        <f>+landbouw!L8</f>
        <v>0</v>
      </c>
      <c r="N22" s="727">
        <f>+landbouw!M8</f>
        <v>0</v>
      </c>
      <c r="O22" s="727">
        <f>+landbouw!N8</f>
        <v>0</v>
      </c>
      <c r="P22" s="727">
        <f>+landbouw!O8</f>
        <v>0</v>
      </c>
      <c r="Q22" s="728">
        <f>+landbouw!P8</f>
        <v>0</v>
      </c>
      <c r="R22" s="729">
        <f>SUM(C22:Q22)</f>
        <v>2806.5480636949087</v>
      </c>
      <c r="S22" s="67"/>
    </row>
    <row r="23" spans="1:19" s="474" customFormat="1" ht="17.25" thickTop="1" thickBot="1">
      <c r="A23" s="734" t="s">
        <v>116</v>
      </c>
      <c r="B23" s="864"/>
      <c r="C23" s="735">
        <f ca="1">C20+C15+C22</f>
        <v>23048.859608412648</v>
      </c>
      <c r="D23" s="735">
        <f t="shared" ref="D23:Q23" ca="1" si="2">D20+D15+D22</f>
        <v>124.71428571428569</v>
      </c>
      <c r="E23" s="735">
        <f t="shared" ca="1" si="2"/>
        <v>61742.937336456016</v>
      </c>
      <c r="F23" s="735">
        <f t="shared" si="2"/>
        <v>348.01724557918072</v>
      </c>
      <c r="G23" s="735">
        <f t="shared" ca="1" si="2"/>
        <v>2580.5684795070483</v>
      </c>
      <c r="H23" s="735">
        <f t="shared" si="2"/>
        <v>10069.360460812622</v>
      </c>
      <c r="I23" s="735">
        <f t="shared" si="2"/>
        <v>2690.0361583872032</v>
      </c>
      <c r="J23" s="735">
        <f t="shared" si="2"/>
        <v>0</v>
      </c>
      <c r="K23" s="735">
        <f t="shared" si="2"/>
        <v>39.371563544990032</v>
      </c>
      <c r="L23" s="735">
        <f t="shared" si="2"/>
        <v>0</v>
      </c>
      <c r="M23" s="735">
        <f t="shared" ca="1" si="2"/>
        <v>0</v>
      </c>
      <c r="N23" s="735">
        <f t="shared" si="2"/>
        <v>666.71587279996106</v>
      </c>
      <c r="O23" s="735">
        <f t="shared" ca="1" si="2"/>
        <v>2536.066692679161</v>
      </c>
      <c r="P23" s="735">
        <f t="shared" si="2"/>
        <v>104.74333333333333</v>
      </c>
      <c r="Q23" s="736">
        <f t="shared" si="2"/>
        <v>1410.9333333333334</v>
      </c>
      <c r="R23" s="737">
        <f ca="1">R20+R15+R22</f>
        <v>105362.32437055977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1697.8192653431342</v>
      </c>
      <c r="D36" s="718">
        <f ca="1">tertiair!C20</f>
        <v>0</v>
      </c>
      <c r="E36" s="718">
        <f ca="1">tertiair!D20</f>
        <v>2294.3661003690481</v>
      </c>
      <c r="F36" s="718">
        <f>tertiair!E20</f>
        <v>16.703450174831673</v>
      </c>
      <c r="G36" s="718">
        <f ca="1">tertiair!F20</f>
        <v>336.93025118146824</v>
      </c>
      <c r="H36" s="718">
        <f>tertiair!G20</f>
        <v>0</v>
      </c>
      <c r="I36" s="718">
        <f>tertiair!H20</f>
        <v>0</v>
      </c>
      <c r="J36" s="718">
        <f>tertiair!I20</f>
        <v>0</v>
      </c>
      <c r="K36" s="718">
        <f>tertiair!J20</f>
        <v>6.467353647895609E-3</v>
      </c>
      <c r="L36" s="718">
        <f>tertiair!K20</f>
        <v>0</v>
      </c>
      <c r="M36" s="718">
        <f ca="1">tertiair!L20</f>
        <v>0</v>
      </c>
      <c r="N36" s="718">
        <f>tertiair!M20</f>
        <v>0</v>
      </c>
      <c r="O36" s="718">
        <f ca="1">tertiair!N20</f>
        <v>0</v>
      </c>
      <c r="P36" s="718">
        <f>tertiair!O20</f>
        <v>0</v>
      </c>
      <c r="Q36" s="828">
        <f>tertiair!P20</f>
        <v>0</v>
      </c>
      <c r="R36" s="917">
        <f ca="1">SUM(C36:Q36)</f>
        <v>4345.8255344221307</v>
      </c>
    </row>
    <row r="37" spans="1:18">
      <c r="A37" s="885" t="s">
        <v>225</v>
      </c>
      <c r="B37" s="892"/>
      <c r="C37" s="718">
        <f ca="1">huishoudens!B12</f>
        <v>2869.7772860883788</v>
      </c>
      <c r="D37" s="718">
        <f ca="1">huishoudens!C12</f>
        <v>0</v>
      </c>
      <c r="E37" s="718">
        <f>huishoudens!D12</f>
        <v>9597.0604994015375</v>
      </c>
      <c r="F37" s="718">
        <f>huishoudens!E12</f>
        <v>39.722062864585141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12506.5598483545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197.24632590489924</v>
      </c>
      <c r="D39" s="718">
        <f ca="1">industrie!C22</f>
        <v>0</v>
      </c>
      <c r="E39" s="718">
        <f>industrie!D22</f>
        <v>309.33967472822491</v>
      </c>
      <c r="F39" s="718">
        <f>industrie!E22</f>
        <v>13.563780712400757</v>
      </c>
      <c r="G39" s="718">
        <f>industrie!F22</f>
        <v>55.280948008603112</v>
      </c>
      <c r="H39" s="718">
        <f>industrie!G22</f>
        <v>0</v>
      </c>
      <c r="I39" s="718">
        <f>industrie!H22</f>
        <v>0</v>
      </c>
      <c r="J39" s="718">
        <f>industrie!I22</f>
        <v>0</v>
      </c>
      <c r="K39" s="718">
        <f>industrie!J22</f>
        <v>0.24599259437718188</v>
      </c>
      <c r="L39" s="718">
        <f>industrie!K22</f>
        <v>0</v>
      </c>
      <c r="M39" s="718">
        <f>industrie!L22</f>
        <v>0</v>
      </c>
      <c r="N39" s="718">
        <f>industrie!M22</f>
        <v>0</v>
      </c>
      <c r="O39" s="718">
        <f>industrie!N22</f>
        <v>0</v>
      </c>
      <c r="P39" s="718">
        <f>industrie!O22</f>
        <v>0</v>
      </c>
      <c r="Q39" s="828">
        <f>industrie!P22</f>
        <v>0</v>
      </c>
      <c r="R39" s="918">
        <f ca="1">SUM(C39:Q39)</f>
        <v>575.67672194850525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4764.8428773364121</v>
      </c>
      <c r="D41" s="763">
        <f t="shared" ref="D41:R41" ca="1" si="4">SUM(D35:D40)</f>
        <v>0</v>
      </c>
      <c r="E41" s="763">
        <f t="shared" ca="1" si="4"/>
        <v>12200.76627449881</v>
      </c>
      <c r="F41" s="763">
        <f t="shared" si="4"/>
        <v>69.98929375181757</v>
      </c>
      <c r="G41" s="763">
        <f t="shared" ca="1" si="4"/>
        <v>392.21119919007134</v>
      </c>
      <c r="H41" s="763">
        <f t="shared" si="4"/>
        <v>0</v>
      </c>
      <c r="I41" s="763">
        <f t="shared" si="4"/>
        <v>0</v>
      </c>
      <c r="J41" s="763">
        <f t="shared" si="4"/>
        <v>0</v>
      </c>
      <c r="K41" s="763">
        <f t="shared" si="4"/>
        <v>0.25245994802507749</v>
      </c>
      <c r="L41" s="763">
        <f t="shared" si="4"/>
        <v>0</v>
      </c>
      <c r="M41" s="763">
        <f t="shared" ca="1" si="4"/>
        <v>0</v>
      </c>
      <c r="N41" s="763">
        <f t="shared" si="4"/>
        <v>0</v>
      </c>
      <c r="O41" s="763">
        <f t="shared" ca="1" si="4"/>
        <v>0</v>
      </c>
      <c r="P41" s="763">
        <f t="shared" si="4"/>
        <v>0</v>
      </c>
      <c r="Q41" s="764">
        <f t="shared" si="4"/>
        <v>0</v>
      </c>
      <c r="R41" s="765">
        <f t="shared" ca="1" si="4"/>
        <v>17428.062104725133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233.44959319432678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233.44959319432678</v>
      </c>
    </row>
    <row r="45" spans="1:18" ht="15" thickBot="1">
      <c r="A45" s="888" t="s">
        <v>307</v>
      </c>
      <c r="B45" s="898"/>
      <c r="C45" s="727">
        <f ca="1">transport!B18</f>
        <v>1.4387925259309595</v>
      </c>
      <c r="D45" s="727">
        <f>transport!C18</f>
        <v>0</v>
      </c>
      <c r="E45" s="727">
        <f>transport!D18</f>
        <v>4.8198593270251404</v>
      </c>
      <c r="F45" s="727">
        <f>transport!E18</f>
        <v>7.2302503142702657</v>
      </c>
      <c r="G45" s="727">
        <f>transport!F18</f>
        <v>0</v>
      </c>
      <c r="H45" s="727">
        <f>transport!G18</f>
        <v>2455.0696498426437</v>
      </c>
      <c r="I45" s="727">
        <f>transport!H18</f>
        <v>669.81900343841357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3138.3775554482836</v>
      </c>
    </row>
    <row r="46" spans="1:18" ht="15.75" thickBot="1">
      <c r="A46" s="886" t="s">
        <v>230</v>
      </c>
      <c r="B46" s="899"/>
      <c r="C46" s="763">
        <f t="shared" ref="C46:R46" ca="1" si="5">SUM(C43:C45)</f>
        <v>1.4387925259309595</v>
      </c>
      <c r="D46" s="763">
        <f t="shared" ca="1" si="5"/>
        <v>0</v>
      </c>
      <c r="E46" s="763">
        <f t="shared" si="5"/>
        <v>4.8198593270251404</v>
      </c>
      <c r="F46" s="763">
        <f t="shared" si="5"/>
        <v>7.2302503142702657</v>
      </c>
      <c r="G46" s="763">
        <f t="shared" si="5"/>
        <v>0</v>
      </c>
      <c r="H46" s="763">
        <f t="shared" si="5"/>
        <v>2688.5192430369707</v>
      </c>
      <c r="I46" s="763">
        <f t="shared" si="5"/>
        <v>669.81900343841357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3371.8271486426102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55.824804603239727</v>
      </c>
      <c r="D48" s="718">
        <f ca="1">+landbouw!C12</f>
        <v>0</v>
      </c>
      <c r="E48" s="718">
        <f>+landbouw!D12</f>
        <v>266.48720813827839</v>
      </c>
      <c r="F48" s="718">
        <f>+landbouw!E12</f>
        <v>1.7803706803862105</v>
      </c>
      <c r="G48" s="718">
        <f>+landbouw!F12</f>
        <v>296.80058483831056</v>
      </c>
      <c r="H48" s="718">
        <f>+landbouw!G12</f>
        <v>0</v>
      </c>
      <c r="I48" s="718">
        <f>+landbouw!H12</f>
        <v>0</v>
      </c>
      <c r="J48" s="718">
        <f>+landbouw!I12</f>
        <v>0</v>
      </c>
      <c r="K48" s="718">
        <f>+landbouw!J12</f>
        <v>13.685073546901393</v>
      </c>
      <c r="L48" s="718">
        <f>+landbouw!K12</f>
        <v>0</v>
      </c>
      <c r="M48" s="718">
        <f>+landbouw!L12</f>
        <v>0</v>
      </c>
      <c r="N48" s="718">
        <f>+landbouw!M12</f>
        <v>0</v>
      </c>
      <c r="O48" s="718">
        <f>+landbouw!N12</f>
        <v>0</v>
      </c>
      <c r="P48" s="718">
        <f>+landbouw!O12</f>
        <v>0</v>
      </c>
      <c r="Q48" s="719">
        <f>+landbouw!P12</f>
        <v>0</v>
      </c>
      <c r="R48" s="761">
        <f ca="1">SUM(C48:Q48)</f>
        <v>634.57804180711639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4822.1064744655823</v>
      </c>
      <c r="D53" s="773">
        <f t="shared" ref="D53:Q53" ca="1" si="6">D41+D46+D48</f>
        <v>0</v>
      </c>
      <c r="E53" s="773">
        <f t="shared" ca="1" si="6"/>
        <v>12472.073341964113</v>
      </c>
      <c r="F53" s="773">
        <f t="shared" si="6"/>
        <v>78.999914746474047</v>
      </c>
      <c r="G53" s="773">
        <f t="shared" ca="1" si="6"/>
        <v>689.01178402838195</v>
      </c>
      <c r="H53" s="773">
        <f t="shared" si="6"/>
        <v>2688.5192430369707</v>
      </c>
      <c r="I53" s="773">
        <f t="shared" si="6"/>
        <v>669.81900343841357</v>
      </c>
      <c r="J53" s="773">
        <f t="shared" si="6"/>
        <v>0</v>
      </c>
      <c r="K53" s="773">
        <f t="shared" si="6"/>
        <v>13.93753349492647</v>
      </c>
      <c r="L53" s="773">
        <f t="shared" si="6"/>
        <v>0</v>
      </c>
      <c r="M53" s="773">
        <f t="shared" ca="1" si="6"/>
        <v>0</v>
      </c>
      <c r="N53" s="773">
        <f t="shared" si="6"/>
        <v>0</v>
      </c>
      <c r="O53" s="773">
        <f t="shared" ca="1" si="6"/>
        <v>0</v>
      </c>
      <c r="P53" s="773">
        <f>P41+P46+P48</f>
        <v>0</v>
      </c>
      <c r="Q53" s="774">
        <f t="shared" si="6"/>
        <v>0</v>
      </c>
      <c r="R53" s="775">
        <f ca="1">R41+R46+R48</f>
        <v>21434.467295174858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0.20921236696263934</v>
      </c>
      <c r="D55" s="836">
        <f t="shared" ca="1" si="7"/>
        <v>0</v>
      </c>
      <c r="E55" s="836">
        <f t="shared" ca="1" si="7"/>
        <v>0.20199999999999996</v>
      </c>
      <c r="F55" s="836">
        <f t="shared" si="7"/>
        <v>0.22700000000000006</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1142.0732986136293</v>
      </c>
      <c r="C66" s="795">
        <f>'lokale energieproductie'!B6</f>
        <v>1142.0732986136293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87.299999999999983</v>
      </c>
      <c r="C67" s="794">
        <f>B67*IFERROR(SUM(J67:L67)/SUM(D67:M67),0)</f>
        <v>87.299999999999983</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1229.3732986136292</v>
      </c>
      <c r="C69" s="803">
        <f>SUM(C64:C68)</f>
        <v>1229.3732986136292</v>
      </c>
      <c r="D69" s="804">
        <f t="shared" ref="D69:M69" si="8">SUM(D67:D68)</f>
        <v>0</v>
      </c>
      <c r="E69" s="804">
        <f t="shared" si="8"/>
        <v>0</v>
      </c>
      <c r="F69" s="804">
        <f t="shared" si="8"/>
        <v>0</v>
      </c>
      <c r="G69" s="804">
        <f t="shared" si="8"/>
        <v>0</v>
      </c>
      <c r="H69" s="804">
        <f t="shared" si="8"/>
        <v>0</v>
      </c>
      <c r="I69" s="804">
        <f t="shared" si="8"/>
        <v>0</v>
      </c>
      <c r="J69" s="804">
        <f t="shared" si="8"/>
        <v>0</v>
      </c>
      <c r="K69" s="804">
        <f t="shared" si="8"/>
        <v>102.70588235294116</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124.71428571428569</v>
      </c>
      <c r="C78" s="817">
        <f>B78*IFERROR(SUM(I78:L78)/SUM(D78:M78),0)</f>
        <v>124.71428571428569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124.71428571428569</v>
      </c>
      <c r="C81" s="803">
        <f>SUM(C78:C80)</f>
        <v>124.71428571428569</v>
      </c>
      <c r="D81" s="803">
        <f t="shared" ref="D81:P81" si="9">SUM(D78:D80)</f>
        <v>0</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13717.053765759731</v>
      </c>
      <c r="C4" s="478">
        <f>huishoudens!C8</f>
        <v>0</v>
      </c>
      <c r="D4" s="478">
        <f>huishoudens!D8</f>
        <v>47510.20049208682</v>
      </c>
      <c r="E4" s="478">
        <f>huishoudens!E8</f>
        <v>174.98706107746756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1789.0392140888457</v>
      </c>
      <c r="O4" s="478">
        <f>huishoudens!O8</f>
        <v>103.17999999999999</v>
      </c>
      <c r="P4" s="479">
        <f>huishoudens!P8</f>
        <v>1410.9333333333334</v>
      </c>
      <c r="Q4" s="480">
        <f>SUM(B4:P4)</f>
        <v>64705.393866346196</v>
      </c>
    </row>
    <row r="5" spans="1:17">
      <c r="A5" s="477" t="s">
        <v>156</v>
      </c>
      <c r="B5" s="478">
        <f ca="1">tertiair!B16</f>
        <v>7490.3651273468213</v>
      </c>
      <c r="C5" s="478">
        <f ca="1">tertiair!C16</f>
        <v>62.357142857142847</v>
      </c>
      <c r="D5" s="478">
        <f ca="1">tertiair!D16</f>
        <v>11358.248021628951</v>
      </c>
      <c r="E5" s="478">
        <f>tertiair!E16</f>
        <v>73.583480946395028</v>
      </c>
      <c r="F5" s="478">
        <f ca="1">tertiair!F16</f>
        <v>1261.9110531141132</v>
      </c>
      <c r="G5" s="478">
        <f>tertiair!G16</f>
        <v>0</v>
      </c>
      <c r="H5" s="478">
        <f>tertiair!H16</f>
        <v>0</v>
      </c>
      <c r="I5" s="478">
        <f>tertiair!I16</f>
        <v>0</v>
      </c>
      <c r="J5" s="478">
        <f>tertiair!J16</f>
        <v>1.8269360587275733E-2</v>
      </c>
      <c r="K5" s="478">
        <f>tertiair!K16</f>
        <v>0</v>
      </c>
      <c r="L5" s="478">
        <f ca="1">tertiair!L16</f>
        <v>0</v>
      </c>
      <c r="M5" s="478">
        <f>tertiair!M16</f>
        <v>0</v>
      </c>
      <c r="N5" s="478">
        <f ca="1">tertiair!N16</f>
        <v>609.07697534922852</v>
      </c>
      <c r="O5" s="478">
        <f>tertiair!O16</f>
        <v>1.5633333333333335</v>
      </c>
      <c r="P5" s="479">
        <f>tertiair!P16</f>
        <v>0</v>
      </c>
      <c r="Q5" s="477">
        <f t="shared" ref="Q5:Q13" ca="1" si="0">SUM(B5:P5)</f>
        <v>20857.12340393657</v>
      </c>
    </row>
    <row r="6" spans="1:17">
      <c r="A6" s="477" t="s">
        <v>194</v>
      </c>
      <c r="B6" s="478">
        <f>'openbare verlichting'!B8</f>
        <v>624.92600000000004</v>
      </c>
      <c r="C6" s="478"/>
      <c r="D6" s="478"/>
      <c r="E6" s="478"/>
      <c r="F6" s="478"/>
      <c r="G6" s="478"/>
      <c r="H6" s="478"/>
      <c r="I6" s="478"/>
      <c r="J6" s="478"/>
      <c r="K6" s="478"/>
      <c r="L6" s="478"/>
      <c r="M6" s="478"/>
      <c r="N6" s="478"/>
      <c r="O6" s="478"/>
      <c r="P6" s="479"/>
      <c r="Q6" s="477">
        <f t="shared" si="0"/>
        <v>624.92600000000004</v>
      </c>
    </row>
    <row r="7" spans="1:17">
      <c r="A7" s="477" t="s">
        <v>112</v>
      </c>
      <c r="B7" s="478">
        <f>landbouw!B8</f>
        <v>266.83319640090298</v>
      </c>
      <c r="C7" s="478">
        <f>landbouw!C8</f>
        <v>62.357142857142847</v>
      </c>
      <c r="D7" s="478">
        <f>landbouw!D8</f>
        <v>1319.2436046449425</v>
      </c>
      <c r="E7" s="478">
        <f>landbouw!E8</f>
        <v>7.843042644873174</v>
      </c>
      <c r="F7" s="478">
        <f>landbouw!F8</f>
        <v>1111.6126772970433</v>
      </c>
      <c r="G7" s="478">
        <f>landbouw!G8</f>
        <v>0</v>
      </c>
      <c r="H7" s="478">
        <f>landbouw!H8</f>
        <v>0</v>
      </c>
      <c r="I7" s="478">
        <f>landbouw!I8</f>
        <v>0</v>
      </c>
      <c r="J7" s="478">
        <f>landbouw!J8</f>
        <v>38.658399850003939</v>
      </c>
      <c r="K7" s="478">
        <f>landbouw!K8</f>
        <v>0</v>
      </c>
      <c r="L7" s="478">
        <f>landbouw!L8</f>
        <v>0</v>
      </c>
      <c r="M7" s="478">
        <f>landbouw!M8</f>
        <v>0</v>
      </c>
      <c r="N7" s="478">
        <f>landbouw!N8</f>
        <v>0</v>
      </c>
      <c r="O7" s="478">
        <f>landbouw!O8</f>
        <v>0</v>
      </c>
      <c r="P7" s="479">
        <f>landbouw!P8</f>
        <v>0</v>
      </c>
      <c r="Q7" s="477">
        <f t="shared" si="0"/>
        <v>2806.5480636949087</v>
      </c>
    </row>
    <row r="8" spans="1:17">
      <c r="A8" s="477" t="s">
        <v>635</v>
      </c>
      <c r="B8" s="478">
        <f>industrie!B18</f>
        <v>942.804332117341</v>
      </c>
      <c r="C8" s="478">
        <f>industrie!C18</f>
        <v>0</v>
      </c>
      <c r="D8" s="478">
        <f>industrie!D18</f>
        <v>1531.384528357549</v>
      </c>
      <c r="E8" s="478">
        <f>industrie!E18</f>
        <v>59.752337940091437</v>
      </c>
      <c r="F8" s="478">
        <f>industrie!F18</f>
        <v>207.0447490958918</v>
      </c>
      <c r="G8" s="478">
        <f>industrie!G18</f>
        <v>0</v>
      </c>
      <c r="H8" s="478">
        <f>industrie!H18</f>
        <v>0</v>
      </c>
      <c r="I8" s="478">
        <f>industrie!I18</f>
        <v>0</v>
      </c>
      <c r="J8" s="478">
        <f>industrie!J18</f>
        <v>0.69489433439881887</v>
      </c>
      <c r="K8" s="478">
        <f>industrie!K18</f>
        <v>0</v>
      </c>
      <c r="L8" s="478">
        <f>industrie!L18</f>
        <v>0</v>
      </c>
      <c r="M8" s="478">
        <f>industrie!M18</f>
        <v>0</v>
      </c>
      <c r="N8" s="478">
        <f>industrie!N18</f>
        <v>137.95050324108638</v>
      </c>
      <c r="O8" s="478">
        <f>industrie!O18</f>
        <v>0</v>
      </c>
      <c r="P8" s="479">
        <f>industrie!P18</f>
        <v>0</v>
      </c>
      <c r="Q8" s="477">
        <f t="shared" si="0"/>
        <v>2879.6313450863581</v>
      </c>
    </row>
    <row r="9" spans="1:17" s="483" customFormat="1">
      <c r="A9" s="481" t="s">
        <v>561</v>
      </c>
      <c r="B9" s="482">
        <f>transport!B14</f>
        <v>6.8771867878532049</v>
      </c>
      <c r="C9" s="482"/>
      <c r="D9" s="482">
        <f>transport!D14</f>
        <v>23.860689737748217</v>
      </c>
      <c r="E9" s="482">
        <f>transport!E14</f>
        <v>31.851322970353593</v>
      </c>
      <c r="F9" s="482"/>
      <c r="G9" s="482">
        <f>transport!G14</f>
        <v>9195.0174151409865</v>
      </c>
      <c r="H9" s="482">
        <f>transport!H14</f>
        <v>2690.0361583872032</v>
      </c>
      <c r="I9" s="482"/>
      <c r="J9" s="482"/>
      <c r="K9" s="482"/>
      <c r="L9" s="482"/>
      <c r="M9" s="482">
        <f>transport!M14</f>
        <v>617.05704765997359</v>
      </c>
      <c r="N9" s="482"/>
      <c r="O9" s="482"/>
      <c r="P9" s="482"/>
      <c r="Q9" s="481">
        <f>SUM(B9:P9)</f>
        <v>12564.699820684118</v>
      </c>
    </row>
    <row r="10" spans="1:17">
      <c r="A10" s="477" t="s">
        <v>551</v>
      </c>
      <c r="B10" s="478">
        <f>transport!B54</f>
        <v>0</v>
      </c>
      <c r="C10" s="478"/>
      <c r="D10" s="478">
        <f>transport!D54</f>
        <v>0</v>
      </c>
      <c r="E10" s="478"/>
      <c r="F10" s="478"/>
      <c r="G10" s="478">
        <f>transport!G54</f>
        <v>874.34304567163588</v>
      </c>
      <c r="H10" s="478"/>
      <c r="I10" s="478"/>
      <c r="J10" s="478"/>
      <c r="K10" s="478"/>
      <c r="L10" s="478"/>
      <c r="M10" s="478">
        <f>transport!M54</f>
        <v>49.658825139987492</v>
      </c>
      <c r="N10" s="478"/>
      <c r="O10" s="478"/>
      <c r="P10" s="479"/>
      <c r="Q10" s="477">
        <f t="shared" si="0"/>
        <v>924.00187081162335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23048.859608412648</v>
      </c>
      <c r="C14" s="488">
        <f t="shared" ref="C14:Q14" ca="1" si="1">SUM(C4:C13)</f>
        <v>124.71428571428569</v>
      </c>
      <c r="D14" s="488">
        <f t="shared" ca="1" si="1"/>
        <v>61742.937336456016</v>
      </c>
      <c r="E14" s="488">
        <f t="shared" si="1"/>
        <v>348.01724557918072</v>
      </c>
      <c r="F14" s="488">
        <f t="shared" ca="1" si="1"/>
        <v>2580.5684795070483</v>
      </c>
      <c r="G14" s="488">
        <f t="shared" si="1"/>
        <v>10069.360460812622</v>
      </c>
      <c r="H14" s="488">
        <f t="shared" si="1"/>
        <v>2690.0361583872032</v>
      </c>
      <c r="I14" s="488">
        <f t="shared" si="1"/>
        <v>0</v>
      </c>
      <c r="J14" s="488">
        <f t="shared" si="1"/>
        <v>39.371563544990032</v>
      </c>
      <c r="K14" s="488">
        <f t="shared" si="1"/>
        <v>0</v>
      </c>
      <c r="L14" s="488">
        <f t="shared" ca="1" si="1"/>
        <v>0</v>
      </c>
      <c r="M14" s="488">
        <f t="shared" si="1"/>
        <v>666.71587279996106</v>
      </c>
      <c r="N14" s="488">
        <f t="shared" ca="1" si="1"/>
        <v>2536.066692679161</v>
      </c>
      <c r="O14" s="488">
        <f t="shared" si="1"/>
        <v>104.74333333333333</v>
      </c>
      <c r="P14" s="489">
        <f t="shared" si="1"/>
        <v>1410.9333333333334</v>
      </c>
      <c r="Q14" s="489">
        <f t="shared" ca="1" si="1"/>
        <v>105362.32437055979</v>
      </c>
    </row>
    <row r="16" spans="1:17">
      <c r="A16" s="491" t="s">
        <v>556</v>
      </c>
      <c r="B16" s="841">
        <f ca="1">huishoudens!B10</f>
        <v>0.20921236696263934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2869.7772860883788</v>
      </c>
      <c r="C21" s="478">
        <f t="shared" ref="C21:C28" ca="1" si="3">C4*$C$16</f>
        <v>0</v>
      </c>
      <c r="D21" s="478">
        <f t="shared" ref="D21:D30" si="4">D4*$D$16</f>
        <v>9597.0604994015375</v>
      </c>
      <c r="E21" s="478">
        <f t="shared" ref="E21:E30" si="5">E4*$E$16</f>
        <v>39.722062864585141</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12506.5598483545</v>
      </c>
    </row>
    <row r="22" spans="1:17">
      <c r="A22" s="477" t="s">
        <v>156</v>
      </c>
      <c r="B22" s="478">
        <f t="shared" ca="1" si="2"/>
        <v>1567.0770177066399</v>
      </c>
      <c r="C22" s="478">
        <f t="shared" ca="1" si="3"/>
        <v>0</v>
      </c>
      <c r="D22" s="478">
        <f t="shared" ca="1" si="4"/>
        <v>2294.3661003690481</v>
      </c>
      <c r="E22" s="478">
        <f t="shared" si="5"/>
        <v>16.703450174831673</v>
      </c>
      <c r="F22" s="478">
        <f t="shared" ca="1" si="6"/>
        <v>336.93025118146824</v>
      </c>
      <c r="G22" s="478">
        <f t="shared" si="7"/>
        <v>0</v>
      </c>
      <c r="H22" s="478">
        <f t="shared" si="8"/>
        <v>0</v>
      </c>
      <c r="I22" s="478">
        <f t="shared" si="9"/>
        <v>0</v>
      </c>
      <c r="J22" s="478">
        <f t="shared" si="10"/>
        <v>6.467353647895609E-3</v>
      </c>
      <c r="K22" s="478">
        <f t="shared" si="11"/>
        <v>0</v>
      </c>
      <c r="L22" s="478">
        <f t="shared" ca="1" si="12"/>
        <v>0</v>
      </c>
      <c r="M22" s="478">
        <f t="shared" si="13"/>
        <v>0</v>
      </c>
      <c r="N22" s="478">
        <f t="shared" ca="1" si="14"/>
        <v>0</v>
      </c>
      <c r="O22" s="478">
        <f t="shared" si="15"/>
        <v>0</v>
      </c>
      <c r="P22" s="479">
        <f t="shared" si="16"/>
        <v>0</v>
      </c>
      <c r="Q22" s="477">
        <f t="shared" ref="Q22:Q30" ca="1" si="17">SUM(B22:P22)</f>
        <v>4215.0832867856361</v>
      </c>
    </row>
    <row r="23" spans="1:17">
      <c r="A23" s="477" t="s">
        <v>194</v>
      </c>
      <c r="B23" s="478">
        <f t="shared" ca="1" si="2"/>
        <v>130.74224763649437</v>
      </c>
      <c r="C23" s="478"/>
      <c r="D23" s="478"/>
      <c r="E23" s="478"/>
      <c r="F23" s="478"/>
      <c r="G23" s="478"/>
      <c r="H23" s="478"/>
      <c r="I23" s="478"/>
      <c r="J23" s="478"/>
      <c r="K23" s="478"/>
      <c r="L23" s="478"/>
      <c r="M23" s="478"/>
      <c r="N23" s="478"/>
      <c r="O23" s="478"/>
      <c r="P23" s="479"/>
      <c r="Q23" s="477">
        <f t="shared" ca="1" si="17"/>
        <v>130.74224763649437</v>
      </c>
    </row>
    <row r="24" spans="1:17">
      <c r="A24" s="477" t="s">
        <v>112</v>
      </c>
      <c r="B24" s="478">
        <f t="shared" ca="1" si="2"/>
        <v>55.824804603239727</v>
      </c>
      <c r="C24" s="478">
        <f t="shared" ca="1" si="3"/>
        <v>0</v>
      </c>
      <c r="D24" s="478">
        <f t="shared" si="4"/>
        <v>266.48720813827839</v>
      </c>
      <c r="E24" s="478">
        <f t="shared" si="5"/>
        <v>1.7803706803862105</v>
      </c>
      <c r="F24" s="478">
        <f t="shared" si="6"/>
        <v>296.80058483831056</v>
      </c>
      <c r="G24" s="478">
        <f t="shared" si="7"/>
        <v>0</v>
      </c>
      <c r="H24" s="478">
        <f t="shared" si="8"/>
        <v>0</v>
      </c>
      <c r="I24" s="478">
        <f t="shared" si="9"/>
        <v>0</v>
      </c>
      <c r="J24" s="478">
        <f t="shared" si="10"/>
        <v>13.685073546901393</v>
      </c>
      <c r="K24" s="478">
        <f t="shared" si="11"/>
        <v>0</v>
      </c>
      <c r="L24" s="478">
        <f t="shared" si="12"/>
        <v>0</v>
      </c>
      <c r="M24" s="478">
        <f t="shared" si="13"/>
        <v>0</v>
      </c>
      <c r="N24" s="478">
        <f t="shared" si="14"/>
        <v>0</v>
      </c>
      <c r="O24" s="478">
        <f t="shared" si="15"/>
        <v>0</v>
      </c>
      <c r="P24" s="479">
        <f t="shared" si="16"/>
        <v>0</v>
      </c>
      <c r="Q24" s="477">
        <f t="shared" ca="1" si="17"/>
        <v>634.57804180711639</v>
      </c>
    </row>
    <row r="25" spans="1:17">
      <c r="A25" s="477" t="s">
        <v>635</v>
      </c>
      <c r="B25" s="478">
        <f t="shared" ca="1" si="2"/>
        <v>197.24632590489924</v>
      </c>
      <c r="C25" s="478">
        <f t="shared" ca="1" si="3"/>
        <v>0</v>
      </c>
      <c r="D25" s="478">
        <f t="shared" si="4"/>
        <v>309.33967472822491</v>
      </c>
      <c r="E25" s="478">
        <f t="shared" si="5"/>
        <v>13.563780712400757</v>
      </c>
      <c r="F25" s="478">
        <f t="shared" si="6"/>
        <v>55.280948008603112</v>
      </c>
      <c r="G25" s="478">
        <f t="shared" si="7"/>
        <v>0</v>
      </c>
      <c r="H25" s="478">
        <f t="shared" si="8"/>
        <v>0</v>
      </c>
      <c r="I25" s="478">
        <f t="shared" si="9"/>
        <v>0</v>
      </c>
      <c r="J25" s="478">
        <f t="shared" si="10"/>
        <v>0.24599259437718188</v>
      </c>
      <c r="K25" s="478">
        <f t="shared" si="11"/>
        <v>0</v>
      </c>
      <c r="L25" s="478">
        <f t="shared" si="12"/>
        <v>0</v>
      </c>
      <c r="M25" s="478">
        <f t="shared" si="13"/>
        <v>0</v>
      </c>
      <c r="N25" s="478">
        <f t="shared" si="14"/>
        <v>0</v>
      </c>
      <c r="O25" s="478">
        <f t="shared" si="15"/>
        <v>0</v>
      </c>
      <c r="P25" s="479">
        <f t="shared" si="16"/>
        <v>0</v>
      </c>
      <c r="Q25" s="477">
        <f t="shared" ca="1" si="17"/>
        <v>575.67672194850525</v>
      </c>
    </row>
    <row r="26" spans="1:17" s="483" customFormat="1">
      <c r="A26" s="481" t="s">
        <v>561</v>
      </c>
      <c r="B26" s="835">
        <f t="shared" ca="1" si="2"/>
        <v>1.4387925259309595</v>
      </c>
      <c r="C26" s="482"/>
      <c r="D26" s="482">
        <f t="shared" si="4"/>
        <v>4.8198593270251404</v>
      </c>
      <c r="E26" s="482">
        <f t="shared" si="5"/>
        <v>7.2302503142702657</v>
      </c>
      <c r="F26" s="482"/>
      <c r="G26" s="482">
        <f t="shared" si="7"/>
        <v>2455.0696498426437</v>
      </c>
      <c r="H26" s="482">
        <f t="shared" si="8"/>
        <v>669.81900343841357</v>
      </c>
      <c r="I26" s="482"/>
      <c r="J26" s="482"/>
      <c r="K26" s="482"/>
      <c r="L26" s="482"/>
      <c r="M26" s="482">
        <f t="shared" si="13"/>
        <v>0</v>
      </c>
      <c r="N26" s="482"/>
      <c r="O26" s="482"/>
      <c r="P26" s="493"/>
      <c r="Q26" s="481">
        <f t="shared" ca="1" si="17"/>
        <v>3138.3775554482836</v>
      </c>
    </row>
    <row r="27" spans="1:17">
      <c r="A27" s="477" t="s">
        <v>551</v>
      </c>
      <c r="B27" s="478">
        <f t="shared" ca="1" si="2"/>
        <v>0</v>
      </c>
      <c r="C27" s="478"/>
      <c r="D27" s="482">
        <f t="shared" si="4"/>
        <v>0</v>
      </c>
      <c r="E27" s="478"/>
      <c r="F27" s="478"/>
      <c r="G27" s="478">
        <f t="shared" si="7"/>
        <v>233.44959319432678</v>
      </c>
      <c r="H27" s="478"/>
      <c r="I27" s="478"/>
      <c r="J27" s="478"/>
      <c r="K27" s="478"/>
      <c r="L27" s="478"/>
      <c r="M27" s="478">
        <f t="shared" si="13"/>
        <v>0</v>
      </c>
      <c r="N27" s="478"/>
      <c r="O27" s="478"/>
      <c r="P27" s="479"/>
      <c r="Q27" s="477">
        <f t="shared" ca="1" si="17"/>
        <v>233.44959319432678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4822.1064744655823</v>
      </c>
      <c r="C31" s="488">
        <f t="shared" ca="1" si="18"/>
        <v>0</v>
      </c>
      <c r="D31" s="488">
        <f t="shared" ca="1" si="18"/>
        <v>12472.073341964113</v>
      </c>
      <c r="E31" s="488">
        <f t="shared" si="18"/>
        <v>78.999914746474047</v>
      </c>
      <c r="F31" s="488">
        <f t="shared" ca="1" si="18"/>
        <v>689.01178402838184</v>
      </c>
      <c r="G31" s="488">
        <f t="shared" si="18"/>
        <v>2688.5192430369707</v>
      </c>
      <c r="H31" s="488">
        <f t="shared" si="18"/>
        <v>669.81900343841357</v>
      </c>
      <c r="I31" s="488">
        <f t="shared" si="18"/>
        <v>0</v>
      </c>
      <c r="J31" s="488">
        <f t="shared" si="18"/>
        <v>13.93753349492647</v>
      </c>
      <c r="K31" s="488">
        <f t="shared" si="18"/>
        <v>0</v>
      </c>
      <c r="L31" s="488">
        <f t="shared" ca="1" si="18"/>
        <v>0</v>
      </c>
      <c r="M31" s="488">
        <f t="shared" si="18"/>
        <v>0</v>
      </c>
      <c r="N31" s="488">
        <f t="shared" ca="1" si="18"/>
        <v>0</v>
      </c>
      <c r="O31" s="488">
        <f t="shared" si="18"/>
        <v>0</v>
      </c>
      <c r="P31" s="489">
        <f t="shared" si="18"/>
        <v>0</v>
      </c>
      <c r="Q31" s="489">
        <f t="shared" ca="1" si="18"/>
        <v>21434.467295174862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0.20921236696263934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0.20921236696263934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0.20921236696263934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2019-01-01T21:16:58Z</dcterms:modified>
</cp:coreProperties>
</file>