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I8" i="18"/>
  <c r="J68" i="14" s="1"/>
  <c r="J15" i="16"/>
  <c r="C16" i="15"/>
  <c r="L6" i="17"/>
  <c r="L5" s="1"/>
  <c r="O4" i="48"/>
  <c r="E16"/>
  <c r="I16"/>
  <c r="F16"/>
  <c r="J16"/>
  <c r="K16"/>
  <c r="D16"/>
  <c r="D27" s="1"/>
  <c r="H16"/>
  <c r="H24"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K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18" i="15" l="1"/>
  <c r="C20" s="1"/>
  <c r="D36" i="14" s="1"/>
  <c r="C17" i="19"/>
  <c r="C19" s="1"/>
  <c r="D35" i="14" s="1"/>
  <c r="C20" i="16"/>
  <c r="C22" s="1"/>
  <c r="D39" i="14" s="1"/>
  <c r="C29" i="20"/>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<sst xmlns="http://schemas.openxmlformats.org/spreadsheetml/2006/main" count="2231" uniqueCount="898">
  <si>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</si>
  <si>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</si>
  <si>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</si>
  <si>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</si>
  <si>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</si>
  <si>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</si>
  <si>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</si>
  <si>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</si>
  <si>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</si>
  <si>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</si>
  <si>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</si>
  <si>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</si>
  <si>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</si>
  <si>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</si>
  <si>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</si>
  <si>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</si>
  <si>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</si>
  <si>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</si>
  <si>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</si>
  <si>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</si>
  <si>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</si>
  <si>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</si>
  <si>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</si>
  <si>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</si>
  <si>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</si>
  <si>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</si>
  <si>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</si>
  <si>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</si>
  <si>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</si>
  <si>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</si>
  <si>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</si>
  <si>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</si>
  <si>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</si>
  <si>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</si>
  <si>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</si>
  <si>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</si>
  <si>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</si>
  <si>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</si>
  <si>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</si>
  <si>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</si>
  <si>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</si>
  <si>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</si>
  <si>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</si>
  <si>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</si>
  <si>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</si>
  <si>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</si>
  <si>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</si>
  <si>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</si>
  <si>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</si>
  <si>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</si>
  <si>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</si>
  <si>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</si>
  <si>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</si>
  <si>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</si>
  <si>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</si>
  <si>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</si>
  <si>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</si>
  <si>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</si>
  <si>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</si>
  <si>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</si>
  <si>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</si>
  <si>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</si>
  <si>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</si>
  <si>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</si>
  <si>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</si>
  <si>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</si>
  <si>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</si>
  <si>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</si>
  <si>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</si>
  <si>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</si>
  <si>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</si>
  <si>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</si>
  <si>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</si>
  <si>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</si>
  <si>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</si>
  <si>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</si>
  <si>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</si>
  <si>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</si>
  <si>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</si>
  <si>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</si>
  <si>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</si>
  <si>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</si>
  <si>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</si>
  <si>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</si>
  <si>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</si>
  <si>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</si>
  <si>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</si>
  <si>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</si>
  <si>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</si>
  <si>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</si>
  <si>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</si>
  <si>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</si>
  <si>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</si>
  <si>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</si>
  <si>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</si>
  <si>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</si>
  <si>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</si>
  <si>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</si>
  <si>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</si>
  <si>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</si>
  <si>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</si>
  <si>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</si>
  <si>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</si>
  <si>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</si>
  <si>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</si>
  <si>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</si>
  <si>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</si>
  <si>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</si>
  <si>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</si>
  <si>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</si>
  <si>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</si>
  <si>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</si>
  <si>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</si>
  <si>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</si>
  <si>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</si>
  <si>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</si>
  <si>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</si>
  <si>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</si>
  <si>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</si>
  <si>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</si>
  <si>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</si>
  <si>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</si>
  <si>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</si>
  <si>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</si>
  <si>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</si>
  <si>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</si>
  <si>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</si>
  <si>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</si>
  <si>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</si>
  <si>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</si>
  <si>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</si>
  <si>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</si>
  <si>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</si>
  <si>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</si>
  <si>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</si>
  <si>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</si>
  <si>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</si>
  <si>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</si>
  <si>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</si>
  <si>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</si>
  <si>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</si>
  <si>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</si>
  <si>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</si>
  <si>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</si>
  <si>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</si>
  <si>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</si>
  <si>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</si>
  <si>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</si>
  <si>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</si>
  <si>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</si>
  <si>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</si>
  <si>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</si>
  <si>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</si>
  <si>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</si>
  <si>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</si>
  <si>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</si>
  <si>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</si>
  <si>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</si>
  <si>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</si>
  <si>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</si>
  <si>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</si>
  <si>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</si>
  <si>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</si>
  <si>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</si>
  <si>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</si>
  <si>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</si>
  <si>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</si>
  <si>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</si>
  <si>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</si>
  <si>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</si>
  <si>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</si>
  <si>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</si>
  <si>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</si>
  <si>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</si>
  <si>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</si>
  <si>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</si>
  <si>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</si>
  <si>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</si>
  <si>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</si>
  <si>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</si>
  <si>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</si>
  <si>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</si>
  <si>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</si>
  <si>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</si>
  <si>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</si>
  <si>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</si>
  <si>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</si>
  <si>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</si>
  <si>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</si>
  <si>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</si>
  <si>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</si>
  <si>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</si>
  <si>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</si>
  <si>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</si>
  <si>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</si>
  <si>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</si>
  <si>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</si>
  <si>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</si>
  <si>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</si>
  <si>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</si>
  <si>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</si>
  <si>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</si>
  <si>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</si>
  <si>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</si>
  <si>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</si>
  <si>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</si>
  <si>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</si>
  <si>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</si>
  <si>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</si>
  <si>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</si>
  <si>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</si>
  <si>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</si>
  <si>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</si>
  <si>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</si>
  <si>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</si>
  <si>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</si>
  <si>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</si>
  <si>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</si>
  <si>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</si>
  <si>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</si>
  <si>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</si>
  <si>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</si>
  <si>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</si>
  <si>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</si>
  <si>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</si>
  <si>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</si>
  <si>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</si>
  <si>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</si>
  <si>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</si>
  <si>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</si>
  <si>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</si>
  <si>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</si>
  <si>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</si>
  <si>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</si>
  <si>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</si>
  <si>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</si>
  <si>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</si>
  <si>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</si>
  <si>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</si>
  <si>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</si>
  <si>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</si>
  <si>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</si>
  <si>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</si>
  <si>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</si>
  <si>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</si>
  <si>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</si>
  <si>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</si>
  <si>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</si>
  <si>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</si>
  <si>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</si>
  <si>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</si>
  <si>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</si>
  <si>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</si>
  <si>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</si>
  <si>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</si>
  <si>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</si>
  <si>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</si>
  <si>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</si>
  <si>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</si>
  <si>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</si>
  <si>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</si>
  <si>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</si>
  <si>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</si>
  <si>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</si>
  <si>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</si>
  <si>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</si>
  <si>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</si>
  <si>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</si>
  <si>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</si>
  <si>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</si>
  <si>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</si>
  <si>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</si>
  <si>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</si>
  <si>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</si>
  <si>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</si>
  <si>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</si>
  <si>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</si>
  <si>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</si>
  <si>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</si>
  <si>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</si>
  <si>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</si>
  <si>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</si>
  <si>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</si>
  <si>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</si>
  <si>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</si>
  <si>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</si>
  <si>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</si>
  <si>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</si>
  <si>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</si>
  <si>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</si>
  <si>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</si>
  <si>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</si>
  <si>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</si>
  <si>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</si>
  <si>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</si>
  <si>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</si>
  <si>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</si>
  <si>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</si>
  <si>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</si>
  <si>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</si>
  <si>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</si>
  <si>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</si>
  <si>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</si>
  <si>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</si>
  <si>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</si>
  <si>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</si>
  <si>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</si>
  <si>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</si>
  <si>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</si>
  <si>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</si>
  <si>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</si>
  <si>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</si>
  <si>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</si>
  <si>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</si>
  <si>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</si>
  <si>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</si>
  <si>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</si>
  <si>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</si>
  <si>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</si>
  <si>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</si>
  <si>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</si>
  <si>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</si>
  <si>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</si>
  <si>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</si>
  <si>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</si>
  <si>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</si>
  <si>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</si>
  <si>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</si>
  <si>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</si>
  <si>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</si>
  <si>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</si>
  <si>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</si>
  <si>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</si>
  <si>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</si>
  <si>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</si>
  <si>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</si>
  <si>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</si>
  <si>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</si>
  <si>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</si>
  <si>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</si>
  <si>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</si>
  <si>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</si>
  <si>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</si>
  <si>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</si>
  <si>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</si>
  <si>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</si>
  <si>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</si>
  <si>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</si>
  <si>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</si>
  <si>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</si>
  <si>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</si>
  <si>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</si>
  <si>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</si>
  <si>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</si>
  <si>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</si>
  <si>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</si>
  <si>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</si>
  <si>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</si>
  <si>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</si>
  <si>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</si>
  <si>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</si>
  <si>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</si>
  <si>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</si>
  <si>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</si>
  <si>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</si>
  <si>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</si>
  <si>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</si>
  <si>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</si>
  <si>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</si>
  <si>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</si>
  <si>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</si>
  <si>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</si>
  <si>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</si>
  <si>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</si>
  <si>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</si>
  <si>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</si>
  <si>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</si>
  <si>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</si>
  <si>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</si>
  <si>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</si>
  <si>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</si>
  <si>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</si>
  <si>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</si>
  <si>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</si>
  <si>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</si>
  <si>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</si>
  <si>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</si>
  <si>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</si>
  <si>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</si>
  <si>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</si>
  <si>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</si>
  <si>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</si>
  <si>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</si>
  <si>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</si>
  <si>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</si>
  <si>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</si>
  <si>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</si>
  <si>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</si>
  <si>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</si>
  <si>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</si>
  <si>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</si>
  <si>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</si>
  <si>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</si>
  <si>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</si>
  <si>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</si>
  <si>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</si>
  <si>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</si>
  <si>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</si>
  <si>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</si>
  <si>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</si>
  <si>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</si>
  <si>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</si>
  <si>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</si>
  <si>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</si>
  <si>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</si>
  <si>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</si>
  <si>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</si>
  <si>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</si>
  <si>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</si>
  <si>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</si>
  <si>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</si>
  <si>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</si>
  <si>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</si>
  <si>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</si>
  <si>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</si>
  <si>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</si>
  <si>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</si>
  <si>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</si>
  <si>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</si>
  <si>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</si>
  <si>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</si>
  <si>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</si>
  <si>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</si>
  <si>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</si>
  <si>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</si>
  <si>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</si>
  <si>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</si>
  <si>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</si>
  <si>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</si>
  <si>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</si>
  <si>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</si>
  <si>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</si>
  <si>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</si>
  <si>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</si>
  <si>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</si>
  <si>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</si>
  <si>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</si>
  <si>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</si>
  <si>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</si>
  <si>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</si>
  <si>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</si>
  <si>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</si>
  <si>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</si>
  <si>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</si>
  <si>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</si>
  <si>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</si>
  <si>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</si>
  <si>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</si>
  <si>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</si>
  <si>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</si>
  <si>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</si>
  <si>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</si>
  <si>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</si>
  <si>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</si>
  <si>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</si>
  <si>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</si>
  <si>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</si>
  <si>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</si>
  <si>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</si>
  <si>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</si>
  <si>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</si>
  <si>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</si>
  <si>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</si>
  <si>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</si>
  <si>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</si>
  <si>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</si>
  <si>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</si>
  <si>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</si>
  <si>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</si>
  <si>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</si>
  <si>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</si>
  <si>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</si>
  <si>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</si>
  <si>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</si>
  <si>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</si>
  <si>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</si>
  <si>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</si>
  <si>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</si>
  <si>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</si>
  <si>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</si>
  <si>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</si>
  <si>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</si>
  <si>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</si>
  <si>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</si>
  <si>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</si>
  <si>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</si>
  <si>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</si>
  <si>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</si>
  <si>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</si>
  <si>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</si>
  <si>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</si>
  <si>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</si>
  <si>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</si>
  <si>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</si>
  <si>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</si>
  <si>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</si>
  <si>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</si>
  <si>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</si>
  <si>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</si>
  <si>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</si>
  <si>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</si>
  <si>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</si>
  <si>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</si>
  <si>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</si>
  <si>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</si>
  <si>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</si>
  <si>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</si>
  <si>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</si>
  <si>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</si>
  <si>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</si>
  <si>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</si>
  <si>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</si>
  <si>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</si>
  <si>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</si>
  <si>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</si>
  <si>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</si>
  <si>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</si>
  <si>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</si>
  <si>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</si>
  <si>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</si>
  <si>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</si>
  <si>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</si>
  <si>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</si>
  <si>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</si>
  <si>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</si>
  <si>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</si>
  <si>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</si>
  <si>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</si>
  <si>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</si>
  <si>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</si>
  <si>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</si>
  <si>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</si>
  <si>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</si>
  <si>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</si>
  <si>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</si>
  <si>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</si>
  <si>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</si>
  <si>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</si>
  <si>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</si>
  <si>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</si>
  <si>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</si>
  <si>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</si>
  <si>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</si>
  <si>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</si>
  <si>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</si>
  <si>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</si>
  <si>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</si>
  <si>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</si>
  <si>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</si>
  <si>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</si>
  <si>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</si>
  <si>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</si>
  <si>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</si>
  <si>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</si>
  <si>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</si>
  <si>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</si>
  <si>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</si>
  <si>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</si>
  <si>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</si>
  <si>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</si>
  <si>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</si>
  <si>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</si>
  <si>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</si>
  <si>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</si>
  <si>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</si>
  <si>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</si>
  <si>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</si>
  <si>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</si>
  <si>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</si>
  <si>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</si>
  <si>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</si>
  <si>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</si>
  <si>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</si>
  <si>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</si>
  <si>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</si>
  <si>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</si>
  <si>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</si>
  <si>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</si>
  <si>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</si>
  <si>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</si>
  <si>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</si>
  <si>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</si>
  <si>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</si>
  <si>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</si>
  <si>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</si>
  <si>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</si>
  <si>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</si>
  <si>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</si>
  <si>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</si>
  <si>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</si>
  <si>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</si>
  <si>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</si>
  <si>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</si>
  <si>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</si>
  <si>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</si>
  <si>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</si>
  <si>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</si>
  <si>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</si>
  <si>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</si>
  <si>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</si>
  <si>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</si>
  <si>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</si>
  <si>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</si>
  <si>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</si>
  <si>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</si>
  <si>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</si>
  <si>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</si>
  <si>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</si>
  <si>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</si>
  <si>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</si>
  <si>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</si>
  <si>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</si>
  <si>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</si>
  <si>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</si>
  <si>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</si>
  <si>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</si>
  <si>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</si>
  <si>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</si>
  <si>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</si>
  <si>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</si>
  <si>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</si>
  <si>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</si>
  <si>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</si>
  <si>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</si>
  <si>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</si>
  <si>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</si>
  <si>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</si>
  <si>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</si>
  <si>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</si>
  <si>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</si>
  <si>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</si>
  <si>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</si>
  <si>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</si>
  <si>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</si>
  <si>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</si>
  <si>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</si>
  <si>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</si>
  <si>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</si>
  <si>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</si>
  <si>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</si>
  <si>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</si>
  <si>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</si>
  <si>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</si>
  <si>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</si>
  <si>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</si>
  <si>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</si>
  <si>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</si>
  <si>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</si>
  <si>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</si>
  <si>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</si>
  <si>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</si>
  <si>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</si>
  <si>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</si>
  <si>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</si>
  <si>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</si>
  <si>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</si>
  <si>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</si>
  <si>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</si>
  <si>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</si>
  <si>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</si>
  <si>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</si>
  <si>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</si>
  <si>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</si>
  <si>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</si>
  <si>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</si>
  <si>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</si>
  <si>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</si>
  <si>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</si>
  <si>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</si>
  <si>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</si>
  <si>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</si>
  <si>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</si>
  <si>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</si>
  <si>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</si>
  <si>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</si>
  <si>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</si>
  <si>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</si>
  <si>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</si>
  <si>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</si>
  <si>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</si>
  <si>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</si>
  <si>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</si>
  <si>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</si>
  <si>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</si>
  <si>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</si>
  <si>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</si>
  <si>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</si>
  <si>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</si>
  <si>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</si>
  <si>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</si>
  <si>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</si>
  <si>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</si>
  <si>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</si>
  <si>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</si>
  <si>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</si>
  <si>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</si>
  <si>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</si>
  <si>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</si>
  <si>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</si>
  <si>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</si>
  <si>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</si>
  <si>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</si>
  <si>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</si>
  <si>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</si>
  <si>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</si>
  <si>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</si>
  <si>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</si>
  <si>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</si>
  <si>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</si>
  <si>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</si>
  <si>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</si>
  <si>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</si>
  <si>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</si>
  <si>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</si>
  <si>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</si>
  <si>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</si>
  <si>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</si>
  <si>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</si>
  <si>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</si>
  <si>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</si>
  <si>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</si>
  <si>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</si>
  <si>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</si>
  <si>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</si>
  <si>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</si>
  <si>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</si>
  <si>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</si>
  <si>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</si>
  <si>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</si>
  <si>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</si>
  <si>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</si>
  <si>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</si>
  <si>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</si>
  <si>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</si>
  <si>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</si>
  <si>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</si>
  <si>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</si>
  <si>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</si>
  <si>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</si>
  <si>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</si>
  <si>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</si>
  <si>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</si>
  <si>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</si>
  <si>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</si>
  <si>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</si>
  <si>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</si>
  <si>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</si>
  <si>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</si>
  <si>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</si>
  <si>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</si>
  <si>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</si>
  <si>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</si>
  <si>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</si>
  <si>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</si>
  <si>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</si>
  <si>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</si>
  <si>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</si>
  <si>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</si>
  <si>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</si>
  <si>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</si>
  <si>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</si>
  <si>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</si>
  <si>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</si>
  <si>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</si>
  <si>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</si>
  <si>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</si>
  <si>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</si>
  <si>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</si>
  <si>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</si>
  <si>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</si>
  <si>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</si>
  <si>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</si>
  <si>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</si>
  <si>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</si>
  <si>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</si>
  <si>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</si>
  <si>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</si>
  <si>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</si>
  <si>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</si>
  <si>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</si>
  <si>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</si>
  <si>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</si>
  <si>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</si>
  <si>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</si>
  <si>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</si>
  <si>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</si>
  <si>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</si>
  <si>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</si>
  <si>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</si>
  <si>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</si>
  <si>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</si>
  <si>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</si>
  <si>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</si>
  <si>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</si>
  <si>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</si>
  <si>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</si>
  <si>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</si>
  <si>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</si>
  <si>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</si>
  <si>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</si>
  <si>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</si>
  <si>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</si>
  <si>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</si>
  <si>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</si>
  <si>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</si>
  <si>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</si>
  <si>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</si>
  <si>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</si>
  <si>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</si>
  <si>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</si>
  <si>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</si>
  <si>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</si>
  <si>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</si>
  <si>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</si>
  <si>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</si>
  <si>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</si>
  <si>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</si>
  <si>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</si>
  <si>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</si>
  <si>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</si>
  <si>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</si>
  <si>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</si>
  <si>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</si>
  <si>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</si>
  <si>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</si>
  <si>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</si>
  <si>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11002</t>
  </si>
  <si>
    <t>ANTWERPEN</t>
  </si>
  <si>
    <t>Eandis (januari 2018); Infrax (juni 2018)</t>
  </si>
  <si>
    <t>MOW (september 2017)</t>
  </si>
  <si>
    <t>referentietaak LNE (2017); Jaarverslag De Lijn (2016)</t>
  </si>
  <si>
    <t>VEA (april 2018)</t>
  </si>
  <si>
    <t>VEA (januari 2017)</t>
  </si>
  <si>
    <t>VEA (juni 2018)</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</si>
  <si>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</si>
  <si>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</si>
  <si>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</si>
  <si>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</si>
  <si>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</si>
  <si>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</si>
  <si>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</si>
  <si>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</si>
  <si>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</si>
  <si>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</si>
  <si>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</si>
  <si>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</si>
  <si>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</si>
  <si>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</si>
  <si>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</si>
  <si>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</si>
  <si>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</si>
  <si>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</si>
  <si>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</si>
  <si>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</si>
  <si>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</si>
  <si>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</si>
  <si>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</si>
  <si>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</si>
  <si>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</si>
  <si>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</si>
  <si>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</si>
  <si>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</si>
  <si>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</si>
  <si>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</si>
  <si>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</si>
  <si>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</si>
  <si>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</si>
  <si>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</si>
  <si>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</si>
  <si>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</si>
  <si>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</si>
  <si>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</si>
  <si>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Silvertop</t>
  </si>
  <si>
    <t>WKK-0805</t>
  </si>
  <si>
    <t>Interne verbrandingsmotor</t>
  </si>
  <si>
    <t>Jan Denucéstraat 1, 2020 Antwerpen, BE</t>
  </si>
  <si>
    <t>IVEG (via INFRAX)</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</si>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</sst>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3053557.2421152149</c:v>
                </c:pt>
                <c:pt idx="1">
                  <c:v>2973043.8709370294</c:v>
                </c:pt>
                <c:pt idx="2">
                  <c:v>28347.198</c:v>
                </c:pt>
                <c:pt idx="3">
                  <c:v>307894.28785598173</c:v>
                </c:pt>
                <c:pt idx="4">
                  <c:v>804689.49971602391</c:v>
                </c:pt>
                <c:pt idx="5">
                  <c:v>3016992.3227690845</c:v>
                </c:pt>
                <c:pt idx="6">
                  <c:v>83496.979459746697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4093696"/>
        <c:axId val="184148736"/>
      </c:barChart>
      <c:catAx>
        <c:axId val="184093696"/>
        <c:scaling>
          <c:orientation val="minMax"/>
        </c:scaling>
        <c:axPos val="b"/>
        <c:numFmt formatCode="General" sourceLinked="0"/>
        <c:tickLblPos val="nextTo"/>
        <c:crossAx val="184148736"/>
        <c:crosses val="autoZero"/>
        <c:auto val="1"/>
        <c:lblAlgn val="ctr"/>
        <c:lblOffset val="100"/>
      </c:catAx>
      <c:valAx>
        <c:axId val="184148736"/>
        <c:scaling>
          <c:orientation val="minMax"/>
        </c:scaling>
        <c:axPos val="l"/>
        <c:majorGridlines>
          <c:spPr>
            <a:ln>
              <a:noFill/>
            </a:ln>
          </c:spPr>
        </c:majorGridlines>
        <c:numFmt formatCode="#,##0" sourceLinked="1"/>
        <c:tickLblPos val="nextTo"/>
        <c:crossAx val="1840936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3053557.2421152149</c:v>
                </c:pt>
                <c:pt idx="1">
                  <c:v>2973043.8709370294</c:v>
                </c:pt>
                <c:pt idx="2">
                  <c:v>28347.198</c:v>
                </c:pt>
                <c:pt idx="3">
                  <c:v>307894.28785598173</c:v>
                </c:pt>
                <c:pt idx="4">
                  <c:v>804689.49971602391</c:v>
                </c:pt>
                <c:pt idx="5">
                  <c:v>3016992.3227690845</c:v>
                </c:pt>
                <c:pt idx="6">
                  <c:v>83496.979459746697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602100.39223200281</c:v>
                </c:pt>
                <c:pt idx="1">
                  <c:v>615219.71884751646</c:v>
                </c:pt>
                <c:pt idx="2">
                  <c:v>5864.1673586022807</c:v>
                </c:pt>
                <c:pt idx="3">
                  <c:v>69357.929700630892</c:v>
                </c:pt>
                <c:pt idx="4">
                  <c:v>159242.26165023693</c:v>
                </c:pt>
                <c:pt idx="5">
                  <c:v>755808.90112769173</c:v>
                </c:pt>
                <c:pt idx="6">
                  <c:v>19530.435887172502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714752"/>
        <c:axId val="184716288"/>
      </c:barChart>
      <c:catAx>
        <c:axId val="184714752"/>
        <c:scaling>
          <c:orientation val="minMax"/>
        </c:scaling>
        <c:axPos val="b"/>
        <c:numFmt formatCode="General" sourceLinked="0"/>
        <c:tickLblPos val="nextTo"/>
        <c:crossAx val="184716288"/>
        <c:crosses val="autoZero"/>
        <c:auto val="1"/>
        <c:lblAlgn val="ctr"/>
        <c:lblOffset val="100"/>
      </c:catAx>
      <c:valAx>
        <c:axId val="184716288"/>
        <c:scaling>
          <c:orientation val="minMax"/>
        </c:scaling>
        <c:axPos val="l"/>
        <c:majorGridlines>
          <c:spPr>
            <a:ln>
              <a:noFill/>
            </a:ln>
          </c:spPr>
        </c:majorGridlines>
        <c:numFmt formatCode="#,##0" sourceLinked="1"/>
        <c:tickLblPos val="nextTo"/>
        <c:crossAx val="1847147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602100.39223200281</c:v>
                </c:pt>
                <c:pt idx="1">
                  <c:v>615219.71884751646</c:v>
                </c:pt>
                <c:pt idx="2">
                  <c:v>5864.1673586022807</c:v>
                </c:pt>
                <c:pt idx="3">
                  <c:v>69357.929700630892</c:v>
                </c:pt>
                <c:pt idx="4">
                  <c:v>159242.26165023693</c:v>
                </c:pt>
                <c:pt idx="5">
                  <c:v>755808.90112769173</c:v>
                </c:pt>
                <c:pt idx="6">
                  <c:v>19530.435887172502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11002</v>
      </c>
      <c r="B6" s="415"/>
      <c r="C6" s="416"/>
    </row>
    <row r="7" spans="1:7" s="413" customFormat="1" ht="15.75" customHeight="1">
      <c r="A7" s="417" t="str">
        <f>txtMunicipality</f>
        <v>ANTWERPEN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234341</v>
      </c>
      <c r="C9" s="342">
        <v>250060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1236.3900000000001</v>
      </c>
    </row>
    <row r="15" spans="1:6">
      <c r="A15" s="348" t="s">
        <v>184</v>
      </c>
      <c r="B15" s="334">
        <v>5</v>
      </c>
    </row>
    <row r="16" spans="1:6">
      <c r="A16" s="348" t="s">
        <v>6</v>
      </c>
      <c r="B16" s="334">
        <v>79</v>
      </c>
    </row>
    <row r="17" spans="1:6">
      <c r="A17" s="348" t="s">
        <v>7</v>
      </c>
      <c r="B17" s="334">
        <v>163</v>
      </c>
    </row>
    <row r="18" spans="1:6">
      <c r="A18" s="348" t="s">
        <v>8</v>
      </c>
      <c r="B18" s="334">
        <v>176</v>
      </c>
    </row>
    <row r="19" spans="1:6">
      <c r="A19" s="348" t="s">
        <v>9</v>
      </c>
      <c r="B19" s="334">
        <v>376</v>
      </c>
    </row>
    <row r="20" spans="1:6">
      <c r="A20" s="348" t="s">
        <v>10</v>
      </c>
      <c r="B20" s="334">
        <v>206</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1075</v>
      </c>
    </row>
    <row r="27" spans="1:6">
      <c r="A27" s="348" t="s">
        <v>17</v>
      </c>
      <c r="B27" s="334">
        <v>46</v>
      </c>
    </row>
    <row r="28" spans="1:6" s="356" customFormat="1">
      <c r="A28" s="355" t="s">
        <v>18</v>
      </c>
      <c r="B28" s="355">
        <v>55</v>
      </c>
    </row>
    <row r="29" spans="1:6">
      <c r="A29" s="355" t="s">
        <v>744</v>
      </c>
      <c r="B29" s="355">
        <v>218</v>
      </c>
      <c r="C29" s="356"/>
      <c r="D29" s="356"/>
      <c r="E29" s="356"/>
      <c r="F29" s="356"/>
    </row>
    <row r="30" spans="1:6">
      <c r="A30" s="341" t="s">
        <v>745</v>
      </c>
      <c r="B30" s="341">
        <v>34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3</v>
      </c>
      <c r="D35" s="334">
        <v>954394</v>
      </c>
      <c r="E35" s="334">
        <v>15</v>
      </c>
      <c r="F35" s="334">
        <v>718731</v>
      </c>
    </row>
    <row r="36" spans="1:6">
      <c r="A36" s="348" t="s">
        <v>25</v>
      </c>
      <c r="B36" s="348" t="s">
        <v>27</v>
      </c>
      <c r="C36" s="334">
        <v>46</v>
      </c>
      <c r="D36" s="334">
        <v>22979929.225444701</v>
      </c>
      <c r="E36" s="334">
        <v>92</v>
      </c>
      <c r="F36" s="334">
        <v>2544438.5568902101</v>
      </c>
    </row>
    <row r="37" spans="1:6">
      <c r="A37" s="348" t="s">
        <v>25</v>
      </c>
      <c r="B37" s="348" t="s">
        <v>28</v>
      </c>
      <c r="C37" s="334">
        <v>0</v>
      </c>
      <c r="D37" s="334">
        <v>0</v>
      </c>
      <c r="E37" s="334">
        <v>7</v>
      </c>
      <c r="F37" s="334">
        <v>18317881</v>
      </c>
    </row>
    <row r="38" spans="1:6">
      <c r="A38" s="348" t="s">
        <v>25</v>
      </c>
      <c r="B38" s="348" t="s">
        <v>29</v>
      </c>
      <c r="C38" s="334">
        <v>25</v>
      </c>
      <c r="D38" s="334">
        <v>193110206.711642</v>
      </c>
      <c r="E38" s="334">
        <v>29</v>
      </c>
      <c r="F38" s="334">
        <v>1259992.83103733</v>
      </c>
    </row>
    <row r="39" spans="1:6">
      <c r="A39" s="348" t="s">
        <v>30</v>
      </c>
      <c r="B39" s="348" t="s">
        <v>31</v>
      </c>
      <c r="C39" s="334">
        <v>180249</v>
      </c>
      <c r="D39" s="334">
        <v>2344945921.8277998</v>
      </c>
      <c r="E39" s="334">
        <v>236367</v>
      </c>
      <c r="F39" s="334">
        <v>627402920.89696097</v>
      </c>
    </row>
    <row r="40" spans="1:6">
      <c r="A40" s="348" t="s">
        <v>30</v>
      </c>
      <c r="B40" s="348" t="s">
        <v>29</v>
      </c>
      <c r="C40" s="334">
        <v>6</v>
      </c>
      <c r="D40" s="334">
        <v>585392.97550469195</v>
      </c>
      <c r="E40" s="334">
        <v>6</v>
      </c>
      <c r="F40" s="334">
        <v>197927.70003185599</v>
      </c>
    </row>
    <row r="41" spans="1:6">
      <c r="A41" s="348" t="s">
        <v>32</v>
      </c>
      <c r="B41" s="348" t="s">
        <v>33</v>
      </c>
      <c r="C41" s="334">
        <v>1511</v>
      </c>
      <c r="D41" s="334">
        <v>41446544.835305601</v>
      </c>
      <c r="E41" s="334">
        <v>3133</v>
      </c>
      <c r="F41" s="334">
        <v>47429270.803086996</v>
      </c>
    </row>
    <row r="42" spans="1:6">
      <c r="A42" s="348" t="s">
        <v>32</v>
      </c>
      <c r="B42" s="348" t="s">
        <v>34</v>
      </c>
      <c r="C42" s="334">
        <v>10</v>
      </c>
      <c r="D42" s="334">
        <v>658752.55934768997</v>
      </c>
      <c r="E42" s="334">
        <v>31</v>
      </c>
      <c r="F42" s="334">
        <v>1075893.2947251329</v>
      </c>
    </row>
    <row r="43" spans="1:6">
      <c r="A43" s="348" t="s">
        <v>32</v>
      </c>
      <c r="B43" s="348" t="s">
        <v>35</v>
      </c>
      <c r="C43" s="334">
        <v>0</v>
      </c>
      <c r="D43" s="334">
        <v>0</v>
      </c>
      <c r="E43" s="334">
        <v>0</v>
      </c>
      <c r="F43" s="334">
        <v>0</v>
      </c>
    </row>
    <row r="44" spans="1:6">
      <c r="A44" s="348" t="s">
        <v>32</v>
      </c>
      <c r="B44" s="348" t="s">
        <v>36</v>
      </c>
      <c r="C44" s="334">
        <v>100</v>
      </c>
      <c r="D44" s="334">
        <v>9540598.8192288708</v>
      </c>
      <c r="E44" s="334">
        <v>500</v>
      </c>
      <c r="F44" s="334">
        <v>111967010.6047231</v>
      </c>
    </row>
    <row r="45" spans="1:6">
      <c r="A45" s="348" t="s">
        <v>32</v>
      </c>
      <c r="B45" s="348" t="s">
        <v>37</v>
      </c>
      <c r="C45" s="334">
        <v>3</v>
      </c>
      <c r="D45" s="334">
        <v>21215</v>
      </c>
      <c r="E45" s="334">
        <v>18</v>
      </c>
      <c r="F45" s="334">
        <v>4156596.6856533429</v>
      </c>
    </row>
    <row r="46" spans="1:6">
      <c r="A46" s="348" t="s">
        <v>32</v>
      </c>
      <c r="B46" s="348" t="s">
        <v>38</v>
      </c>
      <c r="C46" s="334">
        <v>0</v>
      </c>
      <c r="D46" s="334">
        <v>0</v>
      </c>
      <c r="E46" s="334">
        <v>3</v>
      </c>
      <c r="F46" s="334">
        <v>5997355</v>
      </c>
    </row>
    <row r="47" spans="1:6">
      <c r="A47" s="348" t="s">
        <v>32</v>
      </c>
      <c r="B47" s="348" t="s">
        <v>39</v>
      </c>
      <c r="C47" s="334">
        <v>84</v>
      </c>
      <c r="D47" s="334">
        <v>8132388.4980449798</v>
      </c>
      <c r="E47" s="334">
        <v>110</v>
      </c>
      <c r="F47" s="334">
        <v>4404207.98237269</v>
      </c>
    </row>
    <row r="48" spans="1:6">
      <c r="A48" s="348" t="s">
        <v>32</v>
      </c>
      <c r="B48" s="348" t="s">
        <v>29</v>
      </c>
      <c r="C48" s="334">
        <v>394</v>
      </c>
      <c r="D48" s="334">
        <v>282250476.58963197</v>
      </c>
      <c r="E48" s="334">
        <v>428</v>
      </c>
      <c r="F48" s="334">
        <v>64338408.051315203</v>
      </c>
    </row>
    <row r="49" spans="1:6">
      <c r="A49" s="348" t="s">
        <v>32</v>
      </c>
      <c r="B49" s="348" t="s">
        <v>40</v>
      </c>
      <c r="C49" s="334">
        <v>29</v>
      </c>
      <c r="D49" s="334">
        <v>1050282.8810245129</v>
      </c>
      <c r="E49" s="334">
        <v>71</v>
      </c>
      <c r="F49" s="334">
        <v>1103336.9789836891</v>
      </c>
    </row>
    <row r="50" spans="1:6">
      <c r="A50" s="348" t="s">
        <v>32</v>
      </c>
      <c r="B50" s="348" t="s">
        <v>41</v>
      </c>
      <c r="C50" s="334">
        <v>234</v>
      </c>
      <c r="D50" s="334">
        <v>26648717.939390901</v>
      </c>
      <c r="E50" s="334">
        <v>341</v>
      </c>
      <c r="F50" s="334">
        <v>89672519.075636595</v>
      </c>
    </row>
    <row r="51" spans="1:6">
      <c r="A51" s="348" t="s">
        <v>42</v>
      </c>
      <c r="B51" s="348" t="s">
        <v>43</v>
      </c>
      <c r="C51" s="334">
        <v>79</v>
      </c>
      <c r="D51" s="334">
        <v>19764439.318128299</v>
      </c>
      <c r="E51" s="334">
        <v>165</v>
      </c>
      <c r="F51" s="334">
        <v>23712106.501302201</v>
      </c>
    </row>
    <row r="52" spans="1:6">
      <c r="A52" s="348" t="s">
        <v>42</v>
      </c>
      <c r="B52" s="348" t="s">
        <v>29</v>
      </c>
      <c r="C52" s="334">
        <v>25</v>
      </c>
      <c r="D52" s="334">
        <v>520545.44170254702</v>
      </c>
      <c r="E52" s="334">
        <v>41</v>
      </c>
      <c r="F52" s="334">
        <v>292551.384157461</v>
      </c>
    </row>
    <row r="53" spans="1:6">
      <c r="A53" s="348" t="s">
        <v>44</v>
      </c>
      <c r="B53" s="348" t="s">
        <v>45</v>
      </c>
      <c r="C53" s="334">
        <v>7165</v>
      </c>
      <c r="D53" s="334">
        <v>178943610.28197598</v>
      </c>
      <c r="E53" s="334">
        <v>13633</v>
      </c>
      <c r="F53" s="334">
        <v>51481104.375869095</v>
      </c>
    </row>
    <row r="54" spans="1:6">
      <c r="A54" s="348" t="s">
        <v>46</v>
      </c>
      <c r="B54" s="348" t="s">
        <v>47</v>
      </c>
      <c r="C54" s="334">
        <v>0</v>
      </c>
      <c r="D54" s="334">
        <v>0</v>
      </c>
      <c r="E54" s="334">
        <v>24</v>
      </c>
      <c r="F54" s="334">
        <v>28347198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1700</v>
      </c>
      <c r="D57" s="334">
        <v>97344021.790867493</v>
      </c>
      <c r="E57" s="334">
        <v>2604</v>
      </c>
      <c r="F57" s="334">
        <v>80465090.605896205</v>
      </c>
    </row>
    <row r="58" spans="1:6">
      <c r="A58" s="348" t="s">
        <v>49</v>
      </c>
      <c r="B58" s="348" t="s">
        <v>51</v>
      </c>
      <c r="C58" s="334">
        <v>1107</v>
      </c>
      <c r="D58" s="334">
        <v>126736875.90848699</v>
      </c>
      <c r="E58" s="334">
        <v>1601</v>
      </c>
      <c r="F58" s="334">
        <v>59062939.363996699</v>
      </c>
    </row>
    <row r="59" spans="1:6">
      <c r="A59" s="348" t="s">
        <v>49</v>
      </c>
      <c r="B59" s="348" t="s">
        <v>52</v>
      </c>
      <c r="C59" s="334">
        <v>3796</v>
      </c>
      <c r="D59" s="334">
        <v>174782788.87119901</v>
      </c>
      <c r="E59" s="334">
        <v>7739</v>
      </c>
      <c r="F59" s="334">
        <v>239969508.396328</v>
      </c>
    </row>
    <row r="60" spans="1:6">
      <c r="A60" s="348" t="s">
        <v>49</v>
      </c>
      <c r="B60" s="348" t="s">
        <v>53</v>
      </c>
      <c r="C60" s="334">
        <v>2549</v>
      </c>
      <c r="D60" s="334">
        <v>127931506.06308599</v>
      </c>
      <c r="E60" s="334">
        <v>3151</v>
      </c>
      <c r="F60" s="334">
        <v>96480452.1185624</v>
      </c>
    </row>
    <row r="61" spans="1:6">
      <c r="A61" s="348" t="s">
        <v>49</v>
      </c>
      <c r="B61" s="348" t="s">
        <v>54</v>
      </c>
      <c r="C61" s="334">
        <v>9665</v>
      </c>
      <c r="D61" s="334">
        <v>866940907.51989698</v>
      </c>
      <c r="E61" s="334">
        <v>20607</v>
      </c>
      <c r="F61" s="334">
        <v>552885377.15276194</v>
      </c>
    </row>
    <row r="62" spans="1:6">
      <c r="A62" s="348" t="s">
        <v>49</v>
      </c>
      <c r="B62" s="348" t="s">
        <v>55</v>
      </c>
      <c r="C62" s="334">
        <v>773</v>
      </c>
      <c r="D62" s="334">
        <v>181862454.92362499</v>
      </c>
      <c r="E62" s="334">
        <v>838</v>
      </c>
      <c r="F62" s="334">
        <v>56575339.7596929</v>
      </c>
    </row>
    <row r="63" spans="1:6">
      <c r="A63" s="348" t="s">
        <v>49</v>
      </c>
      <c r="B63" s="348" t="s">
        <v>29</v>
      </c>
      <c r="C63" s="334">
        <v>1094</v>
      </c>
      <c r="D63" s="334">
        <v>177600172.14421901</v>
      </c>
      <c r="E63" s="334">
        <v>1073</v>
      </c>
      <c r="F63" s="334">
        <v>64349873.6954934</v>
      </c>
    </row>
    <row r="64" spans="1:6">
      <c r="A64" s="348" t="s">
        <v>56</v>
      </c>
      <c r="B64" s="348" t="s">
        <v>57</v>
      </c>
      <c r="C64" s="334">
        <v>0</v>
      </c>
      <c r="D64" s="334">
        <v>0</v>
      </c>
      <c r="E64" s="334">
        <v>0</v>
      </c>
      <c r="F64" s="334">
        <v>0</v>
      </c>
    </row>
    <row r="65" spans="1:6">
      <c r="A65" s="348" t="s">
        <v>56</v>
      </c>
      <c r="B65" s="348" t="s">
        <v>29</v>
      </c>
      <c r="C65" s="334">
        <v>55</v>
      </c>
      <c r="D65" s="334">
        <v>16368915.816968201</v>
      </c>
      <c r="E65" s="334">
        <v>44</v>
      </c>
      <c r="F65" s="334">
        <v>457856.25565795199</v>
      </c>
    </row>
    <row r="66" spans="1:6">
      <c r="A66" s="348" t="s">
        <v>56</v>
      </c>
      <c r="B66" s="348" t="s">
        <v>58</v>
      </c>
      <c r="C66" s="334">
        <v>12</v>
      </c>
      <c r="D66" s="334">
        <v>1459940.97802075</v>
      </c>
      <c r="E66" s="334">
        <v>327</v>
      </c>
      <c r="F66" s="334">
        <v>20945459.501497999</v>
      </c>
    </row>
    <row r="67" spans="1:6">
      <c r="A67" s="355" t="s">
        <v>56</v>
      </c>
      <c r="B67" s="355" t="s">
        <v>59</v>
      </c>
      <c r="C67" s="334">
        <v>0</v>
      </c>
      <c r="D67" s="334">
        <v>0</v>
      </c>
      <c r="E67" s="334">
        <v>5</v>
      </c>
      <c r="F67" s="334">
        <v>2822811</v>
      </c>
    </row>
    <row r="68" spans="1:6">
      <c r="A68" s="341" t="s">
        <v>56</v>
      </c>
      <c r="B68" s="341" t="s">
        <v>60</v>
      </c>
      <c r="C68" s="334">
        <v>65</v>
      </c>
      <c r="D68" s="334">
        <v>12558467.317572201</v>
      </c>
      <c r="E68" s="334">
        <v>245</v>
      </c>
      <c r="F68" s="334">
        <v>76224983.546111003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860396513</v>
      </c>
      <c r="E73" s="476">
        <v>854499489.19327724</v>
      </c>
    </row>
    <row r="74" spans="1:6">
      <c r="A74" s="348" t="s">
        <v>64</v>
      </c>
      <c r="B74" s="348" t="s">
        <v>657</v>
      </c>
      <c r="C74" s="1272" t="s">
        <v>659</v>
      </c>
      <c r="D74" s="476">
        <v>53033667.054899581</v>
      </c>
      <c r="E74" s="476">
        <v>50917983.072182335</v>
      </c>
    </row>
    <row r="75" spans="1:6">
      <c r="A75" s="348" t="s">
        <v>65</v>
      </c>
      <c r="B75" s="348" t="s">
        <v>656</v>
      </c>
      <c r="C75" s="1272" t="s">
        <v>660</v>
      </c>
      <c r="D75" s="476">
        <v>386301241</v>
      </c>
      <c r="E75" s="476">
        <v>382965229.39478666</v>
      </c>
    </row>
    <row r="76" spans="1:6">
      <c r="A76" s="348" t="s">
        <v>65</v>
      </c>
      <c r="B76" s="348" t="s">
        <v>657</v>
      </c>
      <c r="C76" s="1272" t="s">
        <v>661</v>
      </c>
      <c r="D76" s="476">
        <v>12914132.054899581</v>
      </c>
      <c r="E76" s="476">
        <v>12208507.554365799</v>
      </c>
    </row>
    <row r="77" spans="1:6">
      <c r="A77" s="348" t="s">
        <v>66</v>
      </c>
      <c r="B77" s="348" t="s">
        <v>656</v>
      </c>
      <c r="C77" s="1272" t="s">
        <v>662</v>
      </c>
      <c r="D77" s="476">
        <v>1689515497</v>
      </c>
      <c r="E77" s="476">
        <v>1754497767.3004313</v>
      </c>
    </row>
    <row r="78" spans="1:6">
      <c r="A78" s="341" t="s">
        <v>66</v>
      </c>
      <c r="B78" s="341" t="s">
        <v>657</v>
      </c>
      <c r="C78" s="341" t="s">
        <v>663</v>
      </c>
      <c r="D78" s="1273">
        <v>320029622</v>
      </c>
      <c r="E78" s="1273">
        <v>332518367.82161027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13373679.890200838</v>
      </c>
      <c r="C83" s="476">
        <v>13432540.63130041</v>
      </c>
    </row>
    <row r="84" spans="1:6">
      <c r="A84" s="341" t="s">
        <v>337</v>
      </c>
      <c r="B84" s="1273">
        <v>9698450.8507129811</v>
      </c>
      <c r="C84" s="1273">
        <v>9684942.1892275959</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64502.140318971513</v>
      </c>
    </row>
    <row r="91" spans="1:6">
      <c r="A91" s="348" t="s">
        <v>68</v>
      </c>
      <c r="B91" s="334">
        <v>15254.706989922801</v>
      </c>
    </row>
    <row r="92" spans="1:6">
      <c r="A92" s="341" t="s">
        <v>69</v>
      </c>
      <c r="B92" s="342">
        <v>44586.067249595282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142544</v>
      </c>
    </row>
    <row r="98" spans="1:6">
      <c r="A98" s="348" t="s">
        <v>72</v>
      </c>
      <c r="B98" s="334">
        <v>436</v>
      </c>
    </row>
    <row r="99" spans="1:6">
      <c r="A99" s="348" t="s">
        <v>73</v>
      </c>
      <c r="B99" s="334">
        <v>504</v>
      </c>
    </row>
    <row r="100" spans="1:6">
      <c r="A100" s="348" t="s">
        <v>74</v>
      </c>
      <c r="B100" s="334">
        <v>12353</v>
      </c>
    </row>
    <row r="101" spans="1:6">
      <c r="A101" s="348" t="s">
        <v>75</v>
      </c>
      <c r="B101" s="334">
        <v>483</v>
      </c>
    </row>
    <row r="102" spans="1:6">
      <c r="A102" s="348" t="s">
        <v>76</v>
      </c>
      <c r="B102" s="334">
        <v>6918</v>
      </c>
    </row>
    <row r="103" spans="1:6">
      <c r="A103" s="348" t="s">
        <v>77</v>
      </c>
      <c r="B103" s="334">
        <v>1961</v>
      </c>
    </row>
    <row r="104" spans="1:6">
      <c r="A104" s="348" t="s">
        <v>78</v>
      </c>
      <c r="B104" s="334">
        <v>38687</v>
      </c>
    </row>
    <row r="105" spans="1:6">
      <c r="A105" s="341" t="s">
        <v>79</v>
      </c>
      <c r="B105" s="341">
        <v>225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1</v>
      </c>
      <c r="C122" s="334">
        <v>0</v>
      </c>
    </row>
    <row r="123" spans="1:6">
      <c r="A123" s="348" t="s">
        <v>88</v>
      </c>
      <c r="B123" s="334">
        <v>75</v>
      </c>
      <c r="C123" s="334">
        <v>278</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794</v>
      </c>
    </row>
    <row r="130" spans="1:6">
      <c r="A130" s="348" t="s">
        <v>295</v>
      </c>
      <c r="B130" s="334">
        <v>17</v>
      </c>
    </row>
    <row r="131" spans="1:6">
      <c r="A131" s="348" t="s">
        <v>296</v>
      </c>
      <c r="B131" s="334">
        <v>42</v>
      </c>
    </row>
    <row r="132" spans="1:6">
      <c r="A132" s="341" t="s">
        <v>297</v>
      </c>
      <c r="B132" s="342">
        <v>58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2241096.9546457003</v>
      </c>
      <c r="C3" s="43" t="s">
        <v>170</v>
      </c>
      <c r="D3" s="43"/>
      <c r="E3" s="154"/>
      <c r="F3" s="43"/>
      <c r="G3" s="43"/>
      <c r="H3" s="43"/>
      <c r="I3" s="43"/>
      <c r="J3" s="43"/>
      <c r="K3" s="96"/>
    </row>
    <row r="4" spans="1:11">
      <c r="A4" s="383" t="s">
        <v>171</v>
      </c>
      <c r="B4" s="49">
        <f>IF(ISERROR('SEAP template'!B69),0,'SEAP template'!B69)</f>
        <v>154957.12289182295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2577.4413195558218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0.20686938294932292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3682.059677870177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15493.871782496783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0.23764619518987823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28347.198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28347.198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0.20686938294932292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5864.1673586022807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627600.8485969929</v>
      </c>
      <c r="C5" s="17">
        <f>IF(ISERROR('Eigen informatie GS &amp; warmtenet'!B57),0,'Eigen informatie GS &amp; warmtenet'!B57)</f>
        <v>0</v>
      </c>
      <c r="D5" s="30">
        <f>(SUM(HH_hh_gas_kWh,HH_rest_gas_kWh)/1000)*0.902</f>
        <v>2115669.2459525806</v>
      </c>
      <c r="E5" s="17">
        <f>B46*B57</f>
        <v>39362.547167595112</v>
      </c>
      <c r="F5" s="17">
        <f>B51*B62</f>
        <v>122894.28551583491</v>
      </c>
      <c r="G5" s="18"/>
      <c r="H5" s="17"/>
      <c r="I5" s="17"/>
      <c r="J5" s="17">
        <f>B50*B61+C50*C61</f>
        <v>0</v>
      </c>
      <c r="K5" s="17"/>
      <c r="L5" s="17"/>
      <c r="M5" s="17"/>
      <c r="N5" s="17">
        <f>B48*B59+C48*C59</f>
        <v>128556.0312256217</v>
      </c>
      <c r="O5" s="17">
        <f>B69*B70*B71</f>
        <v>1683.7100000000003</v>
      </c>
      <c r="P5" s="17">
        <f>B77*B78*B79/1000-B77*B78*B79/1000/B80</f>
        <v>2535.8666666666668</v>
      </c>
    </row>
    <row r="6" spans="1:16">
      <c r="A6" s="16" t="s">
        <v>621</v>
      </c>
      <c r="B6" s="843">
        <f>kWh_PV_kleiner_dan_10kW</f>
        <v>15254.706989922801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642855.5555869157</v>
      </c>
      <c r="C8" s="21">
        <f>C5</f>
        <v>0</v>
      </c>
      <c r="D8" s="21">
        <f>D5</f>
        <v>2115669.2459525806</v>
      </c>
      <c r="E8" s="21">
        <f>E5</f>
        <v>39362.547167595112</v>
      </c>
      <c r="F8" s="21">
        <f>F5</f>
        <v>122894.28551583491</v>
      </c>
      <c r="G8" s="21"/>
      <c r="H8" s="21"/>
      <c r="I8" s="21"/>
      <c r="J8" s="21">
        <f>J5</f>
        <v>0</v>
      </c>
      <c r="K8" s="21"/>
      <c r="L8" s="21">
        <f>L5</f>
        <v>0</v>
      </c>
      <c r="M8" s="21">
        <f>M5</f>
        <v>0</v>
      </c>
      <c r="N8" s="21">
        <f>N5</f>
        <v>128556.0312256217</v>
      </c>
      <c r="O8" s="21">
        <f>O5</f>
        <v>1683.7100000000003</v>
      </c>
      <c r="P8" s="21">
        <f>P5</f>
        <v>2535.8666666666668</v>
      </c>
    </row>
    <row r="9" spans="1:16">
      <c r="B9" s="19"/>
      <c r="C9" s="19"/>
      <c r="D9" s="258"/>
      <c r="E9" s="19"/>
      <c r="F9" s="19"/>
      <c r="G9" s="19"/>
      <c r="H9" s="19"/>
      <c r="I9" s="19"/>
      <c r="J9" s="19"/>
      <c r="K9" s="19"/>
      <c r="L9" s="19"/>
      <c r="M9" s="19"/>
      <c r="N9" s="19"/>
      <c r="O9" s="19"/>
      <c r="P9" s="19"/>
    </row>
    <row r="10" spans="1:16">
      <c r="A10" s="24" t="s">
        <v>214</v>
      </c>
      <c r="B10" s="25">
        <f ca="1">'EF ele_warmte'!B12</f>
        <v>0.20686938294932292</v>
      </c>
      <c r="C10" s="25">
        <f ca="1">'EF ele_warmte'!B22</f>
        <v>0.23764619518987823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132987.1321098094</v>
      </c>
      <c r="C12" s="23">
        <f ca="1">C10*C8</f>
        <v>0</v>
      </c>
      <c r="D12" s="23">
        <f>D8*D10</f>
        <v>427365.1876824213</v>
      </c>
      <c r="E12" s="23">
        <f>E10*E8</f>
        <v>8935.2982070440903</v>
      </c>
      <c r="F12" s="23">
        <f>F10*F8</f>
        <v>32812.774232727927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142544</v>
      </c>
      <c r="C18" s="166" t="s">
        <v>111</v>
      </c>
      <c r="D18" s="228"/>
      <c r="E18" s="15"/>
    </row>
    <row r="19" spans="1:7">
      <c r="A19" s="171" t="s">
        <v>72</v>
      </c>
      <c r="B19" s="37">
        <f>aantalw2001_ander</f>
        <v>436</v>
      </c>
      <c r="C19" s="166" t="s">
        <v>111</v>
      </c>
      <c r="D19" s="229"/>
      <c r="E19" s="15"/>
    </row>
    <row r="20" spans="1:7">
      <c r="A20" s="171" t="s">
        <v>73</v>
      </c>
      <c r="B20" s="37">
        <f>aantalw2001_propaan</f>
        <v>504</v>
      </c>
      <c r="C20" s="167">
        <f>IF(ISERROR(B20/SUM($B$20,$B$21,$B$22)*100),0,B20/SUM($B$20,$B$21,$B$22)*100)</f>
        <v>3.7781109445277363</v>
      </c>
      <c r="D20" s="229"/>
      <c r="E20" s="15"/>
    </row>
    <row r="21" spans="1:7">
      <c r="A21" s="171" t="s">
        <v>74</v>
      </c>
      <c r="B21" s="37">
        <f>aantalw2001_elektriciteit</f>
        <v>12353</v>
      </c>
      <c r="C21" s="167">
        <f>IF(ISERROR(B21/SUM($B$20,$B$21,$B$22)*100),0,B21/SUM($B$20,$B$21,$B$22)*100)</f>
        <v>92.601199400299848</v>
      </c>
      <c r="D21" s="229"/>
      <c r="E21" s="15"/>
    </row>
    <row r="22" spans="1:7">
      <c r="A22" s="171" t="s">
        <v>75</v>
      </c>
      <c r="B22" s="37">
        <f>aantalw2001_hout</f>
        <v>483</v>
      </c>
      <c r="C22" s="167">
        <f>IF(ISERROR(B22/SUM($B$20,$B$21,$B$22)*100),0,B22/SUM($B$20,$B$21,$B$22)*100)</f>
        <v>3.6206896551724141</v>
      </c>
      <c r="D22" s="229"/>
      <c r="E22" s="15"/>
    </row>
    <row r="23" spans="1:7">
      <c r="A23" s="171" t="s">
        <v>76</v>
      </c>
      <c r="B23" s="37">
        <f>aantalw2001_niet_gespec</f>
        <v>6918</v>
      </c>
      <c r="C23" s="166" t="s">
        <v>111</v>
      </c>
      <c r="D23" s="228"/>
      <c r="E23" s="15"/>
    </row>
    <row r="24" spans="1:7">
      <c r="A24" s="171" t="s">
        <v>77</v>
      </c>
      <c r="B24" s="37">
        <f>aantalw2001_steenkool</f>
        <v>1961</v>
      </c>
      <c r="C24" s="166" t="s">
        <v>111</v>
      </c>
      <c r="D24" s="229"/>
      <c r="E24" s="15"/>
    </row>
    <row r="25" spans="1:7">
      <c r="A25" s="171" t="s">
        <v>78</v>
      </c>
      <c r="B25" s="37">
        <f>aantalw2001_stookolie</f>
        <v>38687</v>
      </c>
      <c r="C25" s="166" t="s">
        <v>111</v>
      </c>
      <c r="D25" s="228"/>
      <c r="E25" s="52"/>
    </row>
    <row r="26" spans="1:7">
      <c r="A26" s="171" t="s">
        <v>79</v>
      </c>
      <c r="B26" s="37">
        <f>aantalw2001_WP</f>
        <v>225</v>
      </c>
      <c r="C26" s="166" t="s">
        <v>111</v>
      </c>
      <c r="D26" s="228"/>
      <c r="E26" s="15"/>
    </row>
    <row r="27" spans="1:7" s="15" customFormat="1">
      <c r="A27" s="171"/>
      <c r="B27" s="29"/>
      <c r="C27" s="36"/>
      <c r="D27" s="228"/>
    </row>
    <row r="28" spans="1:7" s="15" customFormat="1">
      <c r="A28" s="230" t="s">
        <v>794</v>
      </c>
      <c r="B28" s="37">
        <f>aantalHuishoudens2011</f>
        <v>234341</v>
      </c>
      <c r="C28" s="36"/>
      <c r="D28" s="228"/>
    </row>
    <row r="29" spans="1:7" s="15" customFormat="1">
      <c r="A29" s="230" t="s">
        <v>795</v>
      </c>
      <c r="B29" s="37">
        <f>SUM(HH_hh_gas_aantal,HH_rest_gas_aantal)</f>
        <v>180255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180255</v>
      </c>
      <c r="C32" s="167">
        <f>IF(ISERROR(B32/SUM($B$32,$B$34,$B$35,$B$36,$B$38,$B$39)*100),0,B32/SUM($B$32,$B$34,$B$35,$B$36,$B$38,$B$39)*100)</f>
        <v>76.963639158354965</v>
      </c>
      <c r="D32" s="233"/>
      <c r="G32" s="15"/>
    </row>
    <row r="33" spans="1:7">
      <c r="A33" s="171" t="s">
        <v>72</v>
      </c>
      <c r="B33" s="34" t="s">
        <v>111</v>
      </c>
      <c r="C33" s="167"/>
      <c r="D33" s="233"/>
      <c r="G33" s="15"/>
    </row>
    <row r="34" spans="1:7">
      <c r="A34" s="171" t="s">
        <v>73</v>
      </c>
      <c r="B34" s="33">
        <f>IF((($B$28-$B$32-$B$39-$B$77-$B$38)*C20/100)&lt;0,0,($B$28-$B$32-$B$39-$B$77-$B$38)*C20/100)</f>
        <v>1859.0534932533735</v>
      </c>
      <c r="C34" s="167">
        <f>IF(ISERROR(B34/SUM($B$32,$B$34,$B$35,$B$36,$B$38,$B$39)*100),0,B34/SUM($B$32,$B$34,$B$35,$B$36,$B$38,$B$39)*100)</f>
        <v>0.79376173881907253</v>
      </c>
      <c r="D34" s="233"/>
      <c r="G34" s="15"/>
    </row>
    <row r="35" spans="1:7">
      <c r="A35" s="171" t="s">
        <v>74</v>
      </c>
      <c r="B35" s="33">
        <f>IF((($B$28-$B$32-$B$39-$B$77-$B$38)*C21/100)&lt;0,0,($B$28-$B$32-$B$39-$B$77-$B$38)*C21/100)</f>
        <v>45565.253575712144</v>
      </c>
      <c r="C35" s="167">
        <f>IF(ISERROR(B35/SUM($B$32,$B$34,$B$35,$B$36,$B$38,$B$39)*100),0,B35/SUM($B$32,$B$34,$B$35,$B$36,$B$38,$B$39)*100)</f>
        <v>19.45503722149207</v>
      </c>
      <c r="D35" s="233"/>
      <c r="G35" s="15"/>
    </row>
    <row r="36" spans="1:7">
      <c r="A36" s="171" t="s">
        <v>75</v>
      </c>
      <c r="B36" s="33">
        <f>IF((($B$28-$B$32-$B$39-$B$77-$B$38)*C22/100)&lt;0,0,($B$28-$B$32-$B$39-$B$77-$B$38)*C22/100)</f>
        <v>1781.5929310344829</v>
      </c>
      <c r="C36" s="167">
        <f>IF(ISERROR(B36/SUM($B$32,$B$34,$B$35,$B$36,$B$38,$B$39)*100),0,B36/SUM($B$32,$B$34,$B$35,$B$36,$B$38,$B$39)*100)</f>
        <v>0.76068833303494454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4747.0999999999985</v>
      </c>
      <c r="C39" s="167">
        <f>IF(ISERROR(B39/SUM($B$32,$B$34,$B$35,$B$36,$B$38,$B$39)*100),0,B39/SUM($B$32,$B$34,$B$35,$B$36,$B$38,$B$39)*100)</f>
        <v>2.0268735482989473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180255</v>
      </c>
      <c r="C44" s="34" t="s">
        <v>111</v>
      </c>
      <c r="D44" s="174"/>
    </row>
    <row r="45" spans="1:7">
      <c r="A45" s="171" t="s">
        <v>72</v>
      </c>
      <c r="B45" s="33" t="str">
        <f t="shared" si="0"/>
        <v>-</v>
      </c>
      <c r="C45" s="34" t="s">
        <v>111</v>
      </c>
      <c r="D45" s="174"/>
    </row>
    <row r="46" spans="1:7">
      <c r="A46" s="171" t="s">
        <v>73</v>
      </c>
      <c r="B46" s="33">
        <f t="shared" si="0"/>
        <v>1859.0534932533735</v>
      </c>
      <c r="C46" s="34" t="s">
        <v>111</v>
      </c>
      <c r="D46" s="174"/>
    </row>
    <row r="47" spans="1:7">
      <c r="A47" s="171" t="s">
        <v>74</v>
      </c>
      <c r="B47" s="33">
        <f t="shared" si="0"/>
        <v>45565.253575712144</v>
      </c>
      <c r="C47" s="34" t="s">
        <v>111</v>
      </c>
      <c r="D47" s="174"/>
    </row>
    <row r="48" spans="1:7">
      <c r="A48" s="171" t="s">
        <v>75</v>
      </c>
      <c r="B48" s="33">
        <f t="shared" si="0"/>
        <v>1781.5929310344829</v>
      </c>
      <c r="C48" s="33">
        <f>B48*10</f>
        <v>17815.929310344829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4747.0999999999985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1149788.5810927316</v>
      </c>
      <c r="C5" s="17">
        <f>IF(ISERROR('Eigen informatie GS &amp; warmtenet'!B58),0,'Eigen informatie GS &amp; warmtenet'!B58)</f>
        <v>0</v>
      </c>
      <c r="D5" s="30">
        <f>SUM(D6:D12)</f>
        <v>1581385.2519536854</v>
      </c>
      <c r="E5" s="17">
        <f>SUM(E6:E12)</f>
        <v>11841.049569400922</v>
      </c>
      <c r="F5" s="17">
        <f>SUM(F6:F12)</f>
        <v>192389.19768829647</v>
      </c>
      <c r="G5" s="18"/>
      <c r="H5" s="17"/>
      <c r="I5" s="17"/>
      <c r="J5" s="17">
        <f>SUM(J6:J12)</f>
        <v>1.902406545728434</v>
      </c>
      <c r="K5" s="17"/>
      <c r="L5" s="17"/>
      <c r="M5" s="17"/>
      <c r="N5" s="17">
        <f>SUM(N6:N12)</f>
        <v>76521.72681066794</v>
      </c>
      <c r="O5" s="17">
        <f>B38*B39*B40</f>
        <v>26.576666666666668</v>
      </c>
      <c r="P5" s="17">
        <f>B46*B47*B48/1000-B46*B47*B48/1000/B49</f>
        <v>896.13333333333333</v>
      </c>
      <c r="R5" s="32"/>
    </row>
    <row r="6" spans="1:18">
      <c r="A6" s="32" t="s">
        <v>54</v>
      </c>
      <c r="B6" s="37">
        <f>B26</f>
        <v>552885.37715276191</v>
      </c>
      <c r="C6" s="33"/>
      <c r="D6" s="37">
        <f>IF(ISERROR(TER_kantoor_gas_kWh/1000),0,TER_kantoor_gas_kWh/1000)*0.902</f>
        <v>781980.69858294714</v>
      </c>
      <c r="E6" s="33">
        <f>$C$26*'E Balans VL '!I12/100/3.6*1000000</f>
        <v>3.4653016571979167</v>
      </c>
      <c r="F6" s="33">
        <f>$C$26*('E Balans VL '!L12+'E Balans VL '!N12)/100/3.6*1000000</f>
        <v>83083.223095184556</v>
      </c>
      <c r="G6" s="34"/>
      <c r="H6" s="33"/>
      <c r="I6" s="33"/>
      <c r="J6" s="33">
        <f>$C$26*('E Balans VL '!D12+'E Balans VL '!E12)/100/3.6*1000000</f>
        <v>0</v>
      </c>
      <c r="K6" s="33"/>
      <c r="L6" s="33"/>
      <c r="M6" s="33"/>
      <c r="N6" s="33">
        <f>$C$26*'E Balans VL '!Y12/100/3.6*1000000</f>
        <v>528.75288899325778</v>
      </c>
      <c r="O6" s="33"/>
      <c r="P6" s="33"/>
      <c r="R6" s="32"/>
    </row>
    <row r="7" spans="1:18">
      <c r="A7" s="32" t="s">
        <v>53</v>
      </c>
      <c r="B7" s="37">
        <f t="shared" ref="B7:B12" si="0">B27</f>
        <v>96480.452118562403</v>
      </c>
      <c r="C7" s="33"/>
      <c r="D7" s="37">
        <f>IF(ISERROR(TER_horeca_gas_kWh/1000),0,TER_horeca_gas_kWh/1000)*0.902</f>
        <v>115394.21846890356</v>
      </c>
      <c r="E7" s="33">
        <f>$C$27*'E Balans VL '!I9/100/3.6*1000000</f>
        <v>1381.5840037623329</v>
      </c>
      <c r="F7" s="33">
        <f>$C$27*('E Balans VL '!L9+'E Balans VL '!N9)/100/3.6*1000000</f>
        <v>12217.607286112016</v>
      </c>
      <c r="G7" s="34"/>
      <c r="H7" s="33"/>
      <c r="I7" s="33"/>
      <c r="J7" s="33">
        <f>$C$27*('E Balans VL '!D9+'E Balans VL '!E9)/100/3.6*1000000</f>
        <v>0</v>
      </c>
      <c r="K7" s="33"/>
      <c r="L7" s="33"/>
      <c r="M7" s="33"/>
      <c r="N7" s="33">
        <f>$C$27*'E Balans VL '!Y9/100/3.6*1000000</f>
        <v>27.736002772716592</v>
      </c>
      <c r="O7" s="33"/>
      <c r="P7" s="33"/>
      <c r="R7" s="32"/>
    </row>
    <row r="8" spans="1:18">
      <c r="A8" s="6" t="s">
        <v>52</v>
      </c>
      <c r="B8" s="37">
        <f t="shared" si="0"/>
        <v>239969.50839632799</v>
      </c>
      <c r="C8" s="33"/>
      <c r="D8" s="37">
        <f>IF(ISERROR(TER_handel_gas_kWh/1000),0,TER_handel_gas_kWh/1000)*0.902</f>
        <v>157654.07556182152</v>
      </c>
      <c r="E8" s="33">
        <f>$C$28*'E Balans VL '!I13/100/3.6*1000000</f>
        <v>8703.6644778207974</v>
      </c>
      <c r="F8" s="33">
        <f>$C$28*('E Balans VL '!L13+'E Balans VL '!N13)/100/3.6*1000000</f>
        <v>46220.557162890058</v>
      </c>
      <c r="G8" s="34"/>
      <c r="H8" s="33"/>
      <c r="I8" s="33"/>
      <c r="J8" s="33">
        <f>$C$28*('E Balans VL '!D13+'E Balans VL '!E13)/100/3.6*1000000</f>
        <v>0</v>
      </c>
      <c r="K8" s="33"/>
      <c r="L8" s="33"/>
      <c r="M8" s="33"/>
      <c r="N8" s="33">
        <f>$C$28*'E Balans VL '!Y13/100/3.6*1000000</f>
        <v>332.41298365030235</v>
      </c>
      <c r="O8" s="33"/>
      <c r="P8" s="33"/>
      <c r="R8" s="32"/>
    </row>
    <row r="9" spans="1:18">
      <c r="A9" s="32" t="s">
        <v>51</v>
      </c>
      <c r="B9" s="37">
        <f t="shared" si="0"/>
        <v>59062.939363996702</v>
      </c>
      <c r="C9" s="33"/>
      <c r="D9" s="37">
        <f>IF(ISERROR(TER_gezond_gas_kWh/1000),0,TER_gezond_gas_kWh/1000)*0.902</f>
        <v>114316.66206945527</v>
      </c>
      <c r="E9" s="33">
        <f>$C$29*'E Balans VL '!I10/100/3.6*1000000</f>
        <v>3.6979231453618677</v>
      </c>
      <c r="F9" s="33">
        <f>$C$29*('E Balans VL '!L10+'E Balans VL '!N10)/100/3.6*1000000</f>
        <v>8773.9794720460141</v>
      </c>
      <c r="G9" s="34"/>
      <c r="H9" s="33"/>
      <c r="I9" s="33"/>
      <c r="J9" s="33">
        <f>$C$29*('E Balans VL '!D10+'E Balans VL '!E10)/100/3.6*1000000</f>
        <v>0</v>
      </c>
      <c r="K9" s="33"/>
      <c r="L9" s="33"/>
      <c r="M9" s="33"/>
      <c r="N9" s="33">
        <f>$C$29*'E Balans VL '!Y10/100/3.6*1000000</f>
        <v>913.59124516879069</v>
      </c>
      <c r="O9" s="33"/>
      <c r="P9" s="33"/>
      <c r="R9" s="32"/>
    </row>
    <row r="10" spans="1:18">
      <c r="A10" s="32" t="s">
        <v>50</v>
      </c>
      <c r="B10" s="37">
        <f t="shared" si="0"/>
        <v>80465.090605896199</v>
      </c>
      <c r="C10" s="33"/>
      <c r="D10" s="37">
        <f>IF(ISERROR(TER_ander_gas_kWh/1000),0,TER_ander_gas_kWh/1000)*0.902</f>
        <v>87804.307655362485</v>
      </c>
      <c r="E10" s="33">
        <f>$C$30*'E Balans VL '!I14/100/3.6*1000000</f>
        <v>95.911512665736524</v>
      </c>
      <c r="F10" s="33">
        <f>$C$30*('E Balans VL '!L14+'E Balans VL '!N14)/100/3.6*1000000</f>
        <v>21053.244899466496</v>
      </c>
      <c r="G10" s="34"/>
      <c r="H10" s="33"/>
      <c r="I10" s="33"/>
      <c r="J10" s="33">
        <f>$C$30*('E Balans VL '!D14+'E Balans VL '!E14)/100/3.6*1000000</f>
        <v>1.7465817026080424</v>
      </c>
      <c r="K10" s="33"/>
      <c r="L10" s="33"/>
      <c r="M10" s="33"/>
      <c r="N10" s="33">
        <f>$C$30*'E Balans VL '!Y14/100/3.6*1000000</f>
        <v>68328.985989474924</v>
      </c>
      <c r="O10" s="33"/>
      <c r="P10" s="33"/>
      <c r="R10" s="32"/>
    </row>
    <row r="11" spans="1:18">
      <c r="A11" s="32" t="s">
        <v>55</v>
      </c>
      <c r="B11" s="37">
        <f t="shared" si="0"/>
        <v>56575.339759692899</v>
      </c>
      <c r="C11" s="33"/>
      <c r="D11" s="37">
        <f>IF(ISERROR(TER_onderwijs_gas_kWh/1000),0,TER_onderwijs_gas_kWh/1000)*0.902</f>
        <v>164039.93434110974</v>
      </c>
      <c r="E11" s="33">
        <f>$C$31*'E Balans VL '!I11/100/3.6*1000000</f>
        <v>853.63075372420099</v>
      </c>
      <c r="F11" s="33">
        <f>$C$31*('E Balans VL '!L11+'E Balans VL '!N11)/100/3.6*1000000</f>
        <v>9912.9033438391398</v>
      </c>
      <c r="G11" s="34"/>
      <c r="H11" s="33"/>
      <c r="I11" s="33"/>
      <c r="J11" s="33">
        <f>$C$31*('E Balans VL '!D11+'E Balans VL '!E11)/100/3.6*1000000</f>
        <v>0</v>
      </c>
      <c r="K11" s="33"/>
      <c r="L11" s="33"/>
      <c r="M11" s="33"/>
      <c r="N11" s="33">
        <f>$C$31*'E Balans VL '!Y11/100/3.6*1000000</f>
        <v>159.20730710489531</v>
      </c>
      <c r="O11" s="33"/>
      <c r="P11" s="33"/>
      <c r="R11" s="32"/>
    </row>
    <row r="12" spans="1:18">
      <c r="A12" s="32" t="s">
        <v>260</v>
      </c>
      <c r="B12" s="37">
        <f t="shared" si="0"/>
        <v>64349.873695493399</v>
      </c>
      <c r="C12" s="33"/>
      <c r="D12" s="37">
        <f>IF(ISERROR(TER_rest_gas_kWh/1000),0,TER_rest_gas_kWh/1000)*0.902</f>
        <v>160195.35527408557</v>
      </c>
      <c r="E12" s="33">
        <f>$C$32*'E Balans VL '!I8/100/3.6*1000000</f>
        <v>799.09559662529568</v>
      </c>
      <c r="F12" s="33">
        <f>$C$32*('E Balans VL '!L8+'E Balans VL '!N8)/100/3.6*1000000</f>
        <v>11127.682428758197</v>
      </c>
      <c r="G12" s="34"/>
      <c r="H12" s="33"/>
      <c r="I12" s="33"/>
      <c r="J12" s="33">
        <f>$C$32*('E Balans VL '!D8+'E Balans VL '!E8)/100/3.6*1000000</f>
        <v>0.15582484312039163</v>
      </c>
      <c r="K12" s="33"/>
      <c r="L12" s="33"/>
      <c r="M12" s="33"/>
      <c r="N12" s="33">
        <f>$C$32*'E Balans VL '!Y8/100/3.6*1000000</f>
        <v>6231.0403935030445</v>
      </c>
      <c r="O12" s="33"/>
      <c r="P12" s="33"/>
      <c r="R12" s="32"/>
    </row>
    <row r="13" spans="1:18">
      <c r="A13" s="16" t="s">
        <v>488</v>
      </c>
      <c r="B13" s="247">
        <f ca="1">'lokale energieproductie'!N90+'lokale energieproductie'!N59</f>
        <v>26987.208333333332</v>
      </c>
      <c r="C13" s="247">
        <f ca="1">'lokale energieproductie'!O90+'lokale energieproductie'!O59</f>
        <v>10312.443211068212</v>
      </c>
      <c r="D13" s="310">
        <f ca="1">('lokale energieproductie'!P59+'lokale energieproductie'!P90)*(-1)</f>
        <v>-20624.771557271561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-56481.428571428572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1176775.7894260648</v>
      </c>
      <c r="C16" s="21">
        <f t="shared" ca="1" si="1"/>
        <v>10312.443211068212</v>
      </c>
      <c r="D16" s="21">
        <f t="shared" ca="1" si="1"/>
        <v>1560760.4803964139</v>
      </c>
      <c r="E16" s="21">
        <f t="shared" si="1"/>
        <v>11841.049569400922</v>
      </c>
      <c r="F16" s="21">
        <f t="shared" ca="1" si="1"/>
        <v>192389.19768829647</v>
      </c>
      <c r="G16" s="21">
        <f t="shared" si="1"/>
        <v>0</v>
      </c>
      <c r="H16" s="21">
        <f t="shared" si="1"/>
        <v>0</v>
      </c>
      <c r="I16" s="21">
        <f t="shared" si="1"/>
        <v>0</v>
      </c>
      <c r="J16" s="21">
        <f t="shared" si="1"/>
        <v>1.902406545728434</v>
      </c>
      <c r="K16" s="21">
        <f t="shared" si="1"/>
        <v>0</v>
      </c>
      <c r="L16" s="21">
        <f t="shared" ca="1" si="1"/>
        <v>0</v>
      </c>
      <c r="M16" s="21">
        <f t="shared" si="1"/>
        <v>0</v>
      </c>
      <c r="N16" s="21">
        <f t="shared" ca="1" si="1"/>
        <v>20040.298239239368</v>
      </c>
      <c r="O16" s="21">
        <f>O5</f>
        <v>26.576666666666668</v>
      </c>
      <c r="P16" s="21">
        <f>P5</f>
        <v>896.13333333333333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0.20686938294932292</v>
      </c>
      <c r="C18" s="25">
        <f ca="1">'EF ele_warmte'!B22</f>
        <v>0.23764619518987823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243438.88142827238</v>
      </c>
      <c r="C20" s="23">
        <f t="shared" ref="C20:P20" ca="1" si="2">C16*C18</f>
        <v>2450.7128922220509</v>
      </c>
      <c r="D20" s="23">
        <f t="shared" ca="1" si="2"/>
        <v>315273.61704007565</v>
      </c>
      <c r="E20" s="23">
        <f t="shared" si="2"/>
        <v>2687.9182522540095</v>
      </c>
      <c r="F20" s="23">
        <f t="shared" ca="1" si="2"/>
        <v>51367.915782775162</v>
      </c>
      <c r="G20" s="23">
        <f t="shared" si="2"/>
        <v>0</v>
      </c>
      <c r="H20" s="23">
        <f t="shared" si="2"/>
        <v>0</v>
      </c>
      <c r="I20" s="23">
        <f t="shared" si="2"/>
        <v>0</v>
      </c>
      <c r="J20" s="23">
        <f t="shared" si="2"/>
        <v>0.67345191718786557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552885.37715276191</v>
      </c>
      <c r="C26" s="39">
        <f>IF(ISERROR(B26*3.6/1000000/'E Balans VL '!Z12*100),0,B26*3.6/1000000/'E Balans VL '!Z12*100)</f>
        <v>11.687121031825844</v>
      </c>
      <c r="D26" s="237" t="s">
        <v>754</v>
      </c>
      <c r="F26" s="6"/>
    </row>
    <row r="27" spans="1:18">
      <c r="A27" s="231" t="s">
        <v>53</v>
      </c>
      <c r="B27" s="33">
        <f>IF(ISERROR(TER_horeca_ele_kWh/1000),0,TER_horeca_ele_kWh/1000)</f>
        <v>96480.452118562403</v>
      </c>
      <c r="C27" s="39">
        <f>IF(ISERROR(B27*3.6/1000000/'E Balans VL '!Z9*100),0,B27*3.6/1000000/'E Balans VL '!Z9*100)</f>
        <v>7.6055180804059406</v>
      </c>
      <c r="D27" s="237" t="s">
        <v>754</v>
      </c>
      <c r="F27" s="6"/>
    </row>
    <row r="28" spans="1:18">
      <c r="A28" s="171" t="s">
        <v>52</v>
      </c>
      <c r="B28" s="33">
        <f>IF(ISERROR(TER_handel_ele_kWh/1000),0,TER_handel_ele_kWh/1000)</f>
        <v>239969.50839632799</v>
      </c>
      <c r="C28" s="39">
        <f>IF(ISERROR(B28*3.6/1000000/'E Balans VL '!Z13*100),0,B28*3.6/1000000/'E Balans VL '!Z13*100)</f>
        <v>6.9648847191233294</v>
      </c>
      <c r="D28" s="237" t="s">
        <v>754</v>
      </c>
      <c r="F28" s="6"/>
    </row>
    <row r="29" spans="1:18">
      <c r="A29" s="231" t="s">
        <v>51</v>
      </c>
      <c r="B29" s="33">
        <f>IF(ISERROR(TER_gezond_ele_kWh/1000),0,TER_gezond_ele_kWh/1000)</f>
        <v>59062.939363996702</v>
      </c>
      <c r="C29" s="39">
        <f>IF(ISERROR(B29*3.6/1000000/'E Balans VL '!Z10*100),0,B29*3.6/1000000/'E Balans VL '!Z10*100)</f>
        <v>6.220297354093212</v>
      </c>
      <c r="D29" s="237" t="s">
        <v>754</v>
      </c>
      <c r="F29" s="6"/>
    </row>
    <row r="30" spans="1:18">
      <c r="A30" s="231" t="s">
        <v>50</v>
      </c>
      <c r="B30" s="33">
        <f>IF(ISERROR(TER_ander_ele_kWh/1000),0,TER_ander_ele_kWh/1000)</f>
        <v>80465.090605896199</v>
      </c>
      <c r="C30" s="39">
        <f>IF(ISERROR(B30*3.6/1000000/'E Balans VL '!Z14*100),0,B30*3.6/1000000/'E Balans VL '!Z14*100)</f>
        <v>5.9351225600216475</v>
      </c>
      <c r="D30" s="237" t="s">
        <v>754</v>
      </c>
      <c r="F30" s="6"/>
    </row>
    <row r="31" spans="1:18">
      <c r="A31" s="231" t="s">
        <v>55</v>
      </c>
      <c r="B31" s="33">
        <f>IF(ISERROR(TER_onderwijs_ele_kWh/1000),0,TER_onderwijs_ele_kWh/1000)</f>
        <v>56575.339759692899</v>
      </c>
      <c r="C31" s="39">
        <f>IF(ISERROR(B31*3.6/1000000/'E Balans VL '!Z11*100),0,B31*3.6/1000000/'E Balans VL '!Z11*100)</f>
        <v>14.050307007318589</v>
      </c>
      <c r="D31" s="237" t="s">
        <v>754</v>
      </c>
    </row>
    <row r="32" spans="1:18">
      <c r="A32" s="231" t="s">
        <v>260</v>
      </c>
      <c r="B32" s="33">
        <f>IF(ISERROR(TER_rest_ele_kWh/1000),0,TER_rest_ele_kWh/1000)</f>
        <v>64349.873695493399</v>
      </c>
      <c r="C32" s="39">
        <f>IF(ISERROR(B32*3.6/1000000/'E Balans VL '!Z8*100),0,B32*3.6/1000000/'E Balans VL '!Z8*100)</f>
        <v>0.52951404473931873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330144.59847649676</v>
      </c>
      <c r="C5" s="17">
        <f>IF(ISERROR('Eigen informatie GS &amp; warmtenet'!B59),0,'Eigen informatie GS &amp; warmtenet'!B59)</f>
        <v>0</v>
      </c>
      <c r="D5" s="30">
        <f>SUM(D6:D15)</f>
        <v>333513.57736402104</v>
      </c>
      <c r="E5" s="17">
        <f>SUM(E6:E15)</f>
        <v>18824.336741118161</v>
      </c>
      <c r="F5" s="17">
        <f>SUM(F6:F15)</f>
        <v>70120.497043651863</v>
      </c>
      <c r="G5" s="18"/>
      <c r="H5" s="17"/>
      <c r="I5" s="17"/>
      <c r="J5" s="17">
        <f>SUM(J6:J15)</f>
        <v>1954.9367406292463</v>
      </c>
      <c r="K5" s="17"/>
      <c r="L5" s="17"/>
      <c r="M5" s="17"/>
      <c r="N5" s="17">
        <f>SUM(N6:N15)</f>
        <v>51685.981921535451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5997.3549999999996</v>
      </c>
      <c r="C7" s="33"/>
      <c r="D7" s="37">
        <f>IF( ISERROR(IND_nonf_gas_kWhh/1000),0,IND_nonf_gas_kWh/1000)*0.902</f>
        <v>0</v>
      </c>
      <c r="E7" s="33">
        <f>C29*'E Balans VL '!I17/100/3.6*1000000</f>
        <v>55.543115108729069</v>
      </c>
      <c r="F7" s="33">
        <f>C29*'E Balans VL '!L17/100/3.6*1000000+C29*'E Balans VL '!N17/100/3.6*1000000</f>
        <v>1404.130607885066</v>
      </c>
      <c r="G7" s="34"/>
      <c r="H7" s="33"/>
      <c r="I7" s="33"/>
      <c r="J7" s="40">
        <f>C29*'E Balans VL '!D17/100/3.6*1000000+C29*'E Balans VL '!E17/100/3.6*1000000</f>
        <v>1717.0947702008023</v>
      </c>
      <c r="K7" s="33"/>
      <c r="L7" s="33"/>
      <c r="M7" s="33"/>
      <c r="N7" s="33">
        <f>C29*'E Balans VL '!Y17/100/3.6*1000000</f>
        <v>0</v>
      </c>
      <c r="O7" s="33"/>
      <c r="P7" s="33"/>
      <c r="R7" s="32"/>
    </row>
    <row r="8" spans="1:18">
      <c r="A8" s="6" t="s">
        <v>36</v>
      </c>
      <c r="B8" s="37">
        <f t="shared" si="0"/>
        <v>111967.01060472309</v>
      </c>
      <c r="C8" s="33"/>
      <c r="D8" s="37">
        <f>IF( ISERROR(IND_metaal_Gas_kWH/1000),0,IND_metaal_Gas_kWH/1000)*0.902</f>
        <v>8605.6201349444418</v>
      </c>
      <c r="E8" s="33">
        <f>C30*'E Balans VL '!I18/100/3.6*1000000</f>
        <v>1029.4285237431843</v>
      </c>
      <c r="F8" s="33">
        <f>C30*'E Balans VL '!L18/100/3.6*1000000+C30*'E Balans VL '!N18/100/3.6*1000000</f>
        <v>10498.777835599127</v>
      </c>
      <c r="G8" s="34"/>
      <c r="H8" s="33"/>
      <c r="I8" s="33"/>
      <c r="J8" s="40">
        <f>C30*'E Balans VL '!D18/100/3.6*1000000+C30*'E Balans VL '!E18/100/3.6*1000000</f>
        <v>0</v>
      </c>
      <c r="K8" s="33"/>
      <c r="L8" s="33"/>
      <c r="M8" s="33"/>
      <c r="N8" s="33">
        <f>C30*'E Balans VL '!Y18/100/3.6*1000000</f>
        <v>1597.3944395533447</v>
      </c>
      <c r="O8" s="33"/>
      <c r="P8" s="33"/>
      <c r="R8" s="32"/>
    </row>
    <row r="9" spans="1:18">
      <c r="A9" s="6" t="s">
        <v>33</v>
      </c>
      <c r="B9" s="37">
        <f t="shared" si="0"/>
        <v>47429.270803086998</v>
      </c>
      <c r="C9" s="33"/>
      <c r="D9" s="37">
        <f>IF( ISERROR(IND_andere_gas_kWh/1000),0,IND_andere_gas_kWh/1000)*0.902</f>
        <v>37384.783441445652</v>
      </c>
      <c r="E9" s="33">
        <f>C31*'E Balans VL '!I19/100/3.6*1000000</f>
        <v>13864.499194737657</v>
      </c>
      <c r="F9" s="33">
        <f>C31*'E Balans VL '!L19/100/3.6*1000000+C31*'E Balans VL '!N19/100/3.6*1000000</f>
        <v>38113.009156203676</v>
      </c>
      <c r="G9" s="34"/>
      <c r="H9" s="33"/>
      <c r="I9" s="33"/>
      <c r="J9" s="40">
        <f>C31*'E Balans VL '!D19/100/3.6*1000000+C31*'E Balans VL '!E19/100/3.6*1000000</f>
        <v>0</v>
      </c>
      <c r="K9" s="33"/>
      <c r="L9" s="33"/>
      <c r="M9" s="33"/>
      <c r="N9" s="33">
        <f>C31*'E Balans VL '!Y19/100/3.6*1000000</f>
        <v>15671.366649177728</v>
      </c>
      <c r="O9" s="33"/>
      <c r="P9" s="33"/>
      <c r="R9" s="32"/>
    </row>
    <row r="10" spans="1:18">
      <c r="A10" s="6" t="s">
        <v>41</v>
      </c>
      <c r="B10" s="37">
        <f t="shared" si="0"/>
        <v>89672.519075636592</v>
      </c>
      <c r="C10" s="33"/>
      <c r="D10" s="37">
        <f>IF( ISERROR(IND_voed_gas_kWh/1000),0,IND_voed_gas_kWh/1000)*0.902</f>
        <v>24037.143581330594</v>
      </c>
      <c r="E10" s="33">
        <f>C32*'E Balans VL '!I20/100/3.6*1000000</f>
        <v>189.70360449338509</v>
      </c>
      <c r="F10" s="33">
        <f>C32*'E Balans VL '!L20/100/3.6*1000000+C32*'E Balans VL '!N20/100/3.6*1000000</f>
        <v>5701.4703606211478</v>
      </c>
      <c r="G10" s="34"/>
      <c r="H10" s="33"/>
      <c r="I10" s="33"/>
      <c r="J10" s="40">
        <f>C32*'E Balans VL '!D20/100/3.6*1000000+C32*'E Balans VL '!E20/100/3.6*1000000</f>
        <v>0</v>
      </c>
      <c r="K10" s="33"/>
      <c r="L10" s="33"/>
      <c r="M10" s="33"/>
      <c r="N10" s="33">
        <f>C32*'E Balans VL '!Y20/100/3.6*1000000</f>
        <v>6188.2887262595705</v>
      </c>
      <c r="O10" s="33"/>
      <c r="P10" s="33"/>
      <c r="R10" s="32"/>
    </row>
    <row r="11" spans="1:18">
      <c r="A11" s="6" t="s">
        <v>40</v>
      </c>
      <c r="B11" s="37">
        <f t="shared" si="0"/>
        <v>1103.3369789836891</v>
      </c>
      <c r="C11" s="33"/>
      <c r="D11" s="37">
        <f>IF( ISERROR(IND_textiel_gas_kWh/1000),0,IND_textiel_gas_kWh/1000)*0.902</f>
        <v>947.35515868411073</v>
      </c>
      <c r="E11" s="33">
        <f>C33*'E Balans VL '!I21/100/3.6*1000000</f>
        <v>3.2768157016467137</v>
      </c>
      <c r="F11" s="33">
        <f>C33*'E Balans VL '!L21/100/3.6*1000000+C33*'E Balans VL '!N21/100/3.6*1000000</f>
        <v>111.46732601943694</v>
      </c>
      <c r="G11" s="34"/>
      <c r="H11" s="33"/>
      <c r="I11" s="33"/>
      <c r="J11" s="40">
        <f>C33*'E Balans VL '!D21/100/3.6*1000000+C33*'E Balans VL '!E21/100/3.6*1000000</f>
        <v>0</v>
      </c>
      <c r="K11" s="33"/>
      <c r="L11" s="33"/>
      <c r="M11" s="33"/>
      <c r="N11" s="33">
        <f>C33*'E Balans VL '!Y21/100/3.6*1000000</f>
        <v>60.852555530108923</v>
      </c>
      <c r="O11" s="33"/>
      <c r="P11" s="33"/>
      <c r="R11" s="32"/>
    </row>
    <row r="12" spans="1:18">
      <c r="A12" s="6" t="s">
        <v>37</v>
      </c>
      <c r="B12" s="37">
        <f t="shared" si="0"/>
        <v>4156.5966856533432</v>
      </c>
      <c r="C12" s="33"/>
      <c r="D12" s="37">
        <f>IF( ISERROR(IND_min_gas_kWh/1000),0,IND_min_gas_kWh/1000)*0.902</f>
        <v>19.135930000000002</v>
      </c>
      <c r="E12" s="33">
        <f>C34*'E Balans VL '!I22/100/3.6*1000000</f>
        <v>120.48262244801074</v>
      </c>
      <c r="F12" s="33">
        <f>C34*'E Balans VL '!L22/100/3.6*1000000+C34*'E Balans VL '!N22/100/3.6*1000000</f>
        <v>1429.084911117005</v>
      </c>
      <c r="G12" s="34"/>
      <c r="H12" s="33"/>
      <c r="I12" s="33"/>
      <c r="J12" s="40">
        <f>C34*'E Balans VL '!D22/100/3.6*1000000+C34*'E Balans VL '!E22/100/3.6*1000000</f>
        <v>6.830540926255912</v>
      </c>
      <c r="K12" s="33"/>
      <c r="L12" s="33"/>
      <c r="M12" s="33"/>
      <c r="N12" s="33">
        <f>C34*'E Balans VL '!Y22/100/3.6*1000000</f>
        <v>909.9473210536047</v>
      </c>
      <c r="O12" s="33"/>
      <c r="P12" s="33"/>
      <c r="R12" s="32"/>
    </row>
    <row r="13" spans="1:18">
      <c r="A13" s="6" t="s">
        <v>39</v>
      </c>
      <c r="B13" s="37">
        <f t="shared" si="0"/>
        <v>4404.2079823726899</v>
      </c>
      <c r="C13" s="33"/>
      <c r="D13" s="37">
        <f>IF( ISERROR(IND_papier_gas_kWh/1000),0,IND_papier_gas_kWh/1000)*0.902</f>
        <v>7335.4144252365713</v>
      </c>
      <c r="E13" s="33">
        <f>C35*'E Balans VL '!I23/100/3.6*1000000</f>
        <v>6.2485638924404201</v>
      </c>
      <c r="F13" s="33">
        <f>C35*'E Balans VL '!L23/100/3.6*1000000+C35*'E Balans VL '!N23/100/3.6*1000000</f>
        <v>107.52327773948468</v>
      </c>
      <c r="G13" s="34"/>
      <c r="H13" s="33"/>
      <c r="I13" s="33"/>
      <c r="J13" s="40">
        <f>C35*'E Balans VL '!D23/100/3.6*1000000+C35*'E Balans VL '!E23/100/3.6*1000000</f>
        <v>0.68115211369819151</v>
      </c>
      <c r="K13" s="33"/>
      <c r="L13" s="33"/>
      <c r="M13" s="33"/>
      <c r="N13" s="33">
        <f>C35*'E Balans VL '!Y23/100/3.6*1000000</f>
        <v>12801.990057118972</v>
      </c>
      <c r="O13" s="33"/>
      <c r="P13" s="33"/>
      <c r="R13" s="32"/>
    </row>
    <row r="14" spans="1:18">
      <c r="A14" s="6" t="s">
        <v>34</v>
      </c>
      <c r="B14" s="37">
        <f t="shared" si="0"/>
        <v>1075.8932947251328</v>
      </c>
      <c r="C14" s="33"/>
      <c r="D14" s="37">
        <f>IF( ISERROR(IND_chemie_gas_kWh/1000),0,IND_chemie_gas_kWh/1000)*0.902</f>
        <v>594.19480853161633</v>
      </c>
      <c r="E14" s="33">
        <f>C36*'E Balans VL '!I24/100/3.6*1000000</f>
        <v>2.648541027951139</v>
      </c>
      <c r="F14" s="33">
        <f>C36*'E Balans VL '!L24/100/3.6*1000000+C36*'E Balans VL '!N24/100/3.6*1000000</f>
        <v>11.520614939567468</v>
      </c>
      <c r="G14" s="34"/>
      <c r="H14" s="33"/>
      <c r="I14" s="33"/>
      <c r="J14" s="40">
        <f>C36*'E Balans VL '!D24/100/3.6*1000000+C36*'E Balans VL '!E24/100/3.6*1000000</f>
        <v>0</v>
      </c>
      <c r="K14" s="33"/>
      <c r="L14" s="33"/>
      <c r="M14" s="33"/>
      <c r="N14" s="33">
        <f>C36*'E Balans VL '!Y24/100/3.6*1000000</f>
        <v>24.027353138789515</v>
      </c>
      <c r="O14" s="33"/>
      <c r="P14" s="33"/>
      <c r="R14" s="32"/>
    </row>
    <row r="15" spans="1:18">
      <c r="A15" s="6" t="s">
        <v>270</v>
      </c>
      <c r="B15" s="37">
        <f t="shared" si="0"/>
        <v>64338.4080513152</v>
      </c>
      <c r="C15" s="33"/>
      <c r="D15" s="37">
        <f>IF( ISERROR(IND_rest_gas_kWh/1000),0,IND_rest_gas_kWh/1000)*0.902</f>
        <v>254589.92988384806</v>
      </c>
      <c r="E15" s="33">
        <f>C37*'E Balans VL '!I15/100/3.6*1000000</f>
        <v>3552.5057599651573</v>
      </c>
      <c r="F15" s="33">
        <f>C37*'E Balans VL '!L15/100/3.6*1000000+C37*'E Balans VL '!N15/100/3.6*1000000</f>
        <v>12743.512953527348</v>
      </c>
      <c r="G15" s="34"/>
      <c r="H15" s="33"/>
      <c r="I15" s="33"/>
      <c r="J15" s="40">
        <f>C37*'E Balans VL '!D15/100/3.6*1000000+C37*'E Balans VL '!E15/100/3.6*1000000</f>
        <v>230.33027738848989</v>
      </c>
      <c r="K15" s="33"/>
      <c r="L15" s="33"/>
      <c r="M15" s="33"/>
      <c r="N15" s="33">
        <f>C37*'E Balans VL '!Y15/100/3.6*1000000</f>
        <v>14432.114819703336</v>
      </c>
      <c r="O15" s="33"/>
      <c r="P15" s="33"/>
      <c r="R15" s="32"/>
    </row>
    <row r="16" spans="1:18">
      <c r="A16" s="16" t="s">
        <v>488</v>
      </c>
      <c r="B16" s="247">
        <f>'lokale energieproductie'!N89+'lokale energieproductie'!N58</f>
        <v>3627</v>
      </c>
      <c r="C16" s="247">
        <f>'lokale energieproductie'!O89+'lokale energieproductie'!O58</f>
        <v>5181.4285714285716</v>
      </c>
      <c r="D16" s="310">
        <f>('lokale energieproductie'!P58+'lokale energieproductie'!P89)*(-1)</f>
        <v>-10362.857142857143</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333771.59847649676</v>
      </c>
      <c r="C18" s="21">
        <f>C5+C16</f>
        <v>5181.4285714285716</v>
      </c>
      <c r="D18" s="21">
        <f>MAX((D5+D16),0)</f>
        <v>323150.72022116388</v>
      </c>
      <c r="E18" s="21">
        <f>MAX((E5+E16),0)</f>
        <v>18824.336741118161</v>
      </c>
      <c r="F18" s="21">
        <f>MAX((F5+F16),0)</f>
        <v>70120.497043651863</v>
      </c>
      <c r="G18" s="21"/>
      <c r="H18" s="21"/>
      <c r="I18" s="21"/>
      <c r="J18" s="21">
        <f>MAX((J5+J16),0)</f>
        <v>1954.9367406292463</v>
      </c>
      <c r="K18" s="21"/>
      <c r="L18" s="21">
        <f>MAX((L5+L16),0)</f>
        <v>0</v>
      </c>
      <c r="M18" s="21"/>
      <c r="N18" s="21">
        <f>MAX((N5+N16),0)</f>
        <v>51685.981921535451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0.20686938294932292</v>
      </c>
      <c r="C20" s="25">
        <f ca="1">'EF ele_warmte'!B22</f>
        <v>0.23764619518987823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69047.12462284205</v>
      </c>
      <c r="C22" s="23">
        <f ca="1">C18*C20</f>
        <v>1231.3467856481261</v>
      </c>
      <c r="D22" s="23">
        <f>D18*D20</f>
        <v>65276.44548467511</v>
      </c>
      <c r="E22" s="23">
        <f>E18*E20</f>
        <v>4273.1244402338225</v>
      </c>
      <c r="F22" s="23">
        <f>F18*F20</f>
        <v>18722.17271065505</v>
      </c>
      <c r="G22" s="23"/>
      <c r="H22" s="23"/>
      <c r="I22" s="23"/>
      <c r="J22" s="23">
        <f>J18*J20</f>
        <v>692.04760618275316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5997.3549999999996</v>
      </c>
      <c r="C29" s="39">
        <f>IF(ISERROR(B29*3.6/1000000/'E Balans VL '!Z17*100),0,B29*3.6/1000000/'E Balans VL '!Z17*100)</f>
        <v>3.8877617438508718</v>
      </c>
      <c r="D29" s="237" t="s">
        <v>754</v>
      </c>
    </row>
    <row r="30" spans="1:18">
      <c r="A30" s="171" t="s">
        <v>36</v>
      </c>
      <c r="B30" s="37">
        <f>IF( ISERROR(IND_metaal_ele_kWh/1000),0,IND_metaal_ele_kWh/1000)</f>
        <v>111967.01060472309</v>
      </c>
      <c r="C30" s="39">
        <f>IF(ISERROR(B30*3.6/1000000/'E Balans VL '!Z18*100),0,B30*3.6/1000000/'E Balans VL '!Z18*100)</f>
        <v>6.3454575931627222</v>
      </c>
      <c r="D30" s="237" t="s">
        <v>754</v>
      </c>
    </row>
    <row r="31" spans="1:18">
      <c r="A31" s="6" t="s">
        <v>33</v>
      </c>
      <c r="B31" s="37">
        <f>IF( ISERROR(IND_ander_ele_kWh/1000),0,IND_ander_ele_kWh/1000)</f>
        <v>47429.270803086998</v>
      </c>
      <c r="C31" s="39">
        <f>IF(ISERROR(B31*3.6/1000000/'E Balans VL '!Z19*100),0,B31*3.6/1000000/'E Balans VL '!Z19*100)</f>
        <v>2.1511942315816905</v>
      </c>
      <c r="D31" s="237" t="s">
        <v>754</v>
      </c>
    </row>
    <row r="32" spans="1:18">
      <c r="A32" s="171" t="s">
        <v>41</v>
      </c>
      <c r="B32" s="37">
        <f>IF( ISERROR(IND_voed_ele_kWh/1000),0,IND_voed_ele_kWh/1000)</f>
        <v>89672.519075636592</v>
      </c>
      <c r="C32" s="39">
        <f>IF(ISERROR(B32*3.6/1000000/'E Balans VL '!Z20*100),0,B32*3.6/1000000/'E Balans VL '!Z20*100)</f>
        <v>2.7739780938741387</v>
      </c>
      <c r="D32" s="237" t="s">
        <v>754</v>
      </c>
    </row>
    <row r="33" spans="1:5">
      <c r="A33" s="171" t="s">
        <v>40</v>
      </c>
      <c r="B33" s="37">
        <f>IF( ISERROR(IND_textiel_ele_kWh/1000),0,IND_textiel_ele_kWh/1000)</f>
        <v>1103.3369789836891</v>
      </c>
      <c r="C33" s="39">
        <f>IF(ISERROR(B33*3.6/1000000/'E Balans VL '!Z21*100),0,B33*3.6/1000000/'E Balans VL '!Z21*100)</f>
        <v>0.14386287784445614</v>
      </c>
      <c r="D33" s="237" t="s">
        <v>754</v>
      </c>
    </row>
    <row r="34" spans="1:5">
      <c r="A34" s="171" t="s">
        <v>37</v>
      </c>
      <c r="B34" s="37">
        <f>IF( ISERROR(IND_min_ele_kWh/1000),0,IND_min_ele_kWh/1000)</f>
        <v>4156.5966856533432</v>
      </c>
      <c r="C34" s="39">
        <f>IF(ISERROR(B34*3.6/1000000/'E Balans VL '!Z22*100),0,B34*3.6/1000000/'E Balans VL '!Z22*100)</f>
        <v>0.74764205942600748</v>
      </c>
      <c r="D34" s="237" t="s">
        <v>754</v>
      </c>
    </row>
    <row r="35" spans="1:5">
      <c r="A35" s="171" t="s">
        <v>39</v>
      </c>
      <c r="B35" s="37">
        <f>IF( ISERROR(IND_papier_ele_kWh/1000),0,IND_papier_ele_kWh/1000)</f>
        <v>4404.2079823726899</v>
      </c>
      <c r="C35" s="39">
        <f>IF(ISERROR(B35*3.6/1000000/'E Balans VL '!Z22*100),0,B35*3.6/1000000/'E Balans VL '!Z22*100)</f>
        <v>0.79217960632233297</v>
      </c>
      <c r="D35" s="237" t="s">
        <v>754</v>
      </c>
    </row>
    <row r="36" spans="1:5">
      <c r="A36" s="171" t="s">
        <v>34</v>
      </c>
      <c r="B36" s="37">
        <f>IF( ISERROR(IND_chemie_ele_kWh/1000),0,IND_chemie_ele_kWh/1000)</f>
        <v>1075.8932947251328</v>
      </c>
      <c r="C36" s="39">
        <f>IF(ISERROR(B36*3.6/1000000/'E Balans VL '!Z24*100),0,B36*3.6/1000000/'E Balans VL '!Z24*100)</f>
        <v>3.2808316884498367E-2</v>
      </c>
      <c r="D36" s="237" t="s">
        <v>754</v>
      </c>
    </row>
    <row r="37" spans="1:5">
      <c r="A37" s="171" t="s">
        <v>270</v>
      </c>
      <c r="B37" s="37">
        <f>IF( ISERROR(IND_rest_ele_kWh/1000),0,IND_rest_ele_kWh/1000)</f>
        <v>64338.4080513152</v>
      </c>
      <c r="C37" s="39">
        <f>IF(ISERROR(B37*3.6/1000000/'E Balans VL '!Z15*100),0,B37*3.6/1000000/'E Balans VL '!Z15*100)</f>
        <v>0.50996089888647433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24004.657885459663</v>
      </c>
      <c r="C5" s="17">
        <f>'Eigen informatie GS &amp; warmtenet'!B60</f>
        <v>0</v>
      </c>
      <c r="D5" s="30">
        <f>IF(ISERROR(SUM(LB_lb_gas_kWh,LB_rest_gas_kWh,onbekend_gas_kWh)/1000),0,SUM(LB_lb_gas_kWh,LB_rest_gas_kWh,onbekend_gas_kWh)/1000)*0.902</f>
        <v>179704.19272770974</v>
      </c>
      <c r="E5" s="17">
        <f>B17*'E Balans VL '!I25/3.6*1000000/100</f>
        <v>705.57021394139463</v>
      </c>
      <c r="F5" s="17">
        <f>B17*('E Balans VL '!L25/3.6*1000000+'E Balans VL '!N25/3.6*1000000)/100</f>
        <v>100002.10760719687</v>
      </c>
      <c r="G5" s="18"/>
      <c r="H5" s="17"/>
      <c r="I5" s="17"/>
      <c r="J5" s="17">
        <f>('E Balans VL '!D25+'E Balans VL '!E25)/3.6*1000000*landbouw!B17/100</f>
        <v>3477.7594216740767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24004.657885459663</v>
      </c>
      <c r="C8" s="21">
        <f>C5+C6</f>
        <v>0</v>
      </c>
      <c r="D8" s="21">
        <f>MAX((D5+D6),0)</f>
        <v>179704.19272770974</v>
      </c>
      <c r="E8" s="21">
        <f>MAX((E5+E6),0)</f>
        <v>705.57021394139463</v>
      </c>
      <c r="F8" s="21">
        <f>MAX((F5+F6),0)</f>
        <v>100002.10760719687</v>
      </c>
      <c r="G8" s="21"/>
      <c r="H8" s="21"/>
      <c r="I8" s="21"/>
      <c r="J8" s="21">
        <f>MAX((J5+J6),0)</f>
        <v>3477.7594216740767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0.20686938294932292</v>
      </c>
      <c r="C10" s="31">
        <f ca="1">'EF ele_warmte'!B22</f>
        <v>0.23764619518987823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4965.8287646746394</v>
      </c>
      <c r="C12" s="23">
        <f ca="1">C8*C10</f>
        <v>0</v>
      </c>
      <c r="D12" s="23">
        <f>D8*D10</f>
        <v>36300.246930997368</v>
      </c>
      <c r="E12" s="23">
        <f>E8*E10</f>
        <v>160.16443856469658</v>
      </c>
      <c r="F12" s="23">
        <f>F8*F10</f>
        <v>26700.562731121565</v>
      </c>
      <c r="G12" s="23"/>
      <c r="H12" s="23"/>
      <c r="I12" s="23"/>
      <c r="J12" s="23">
        <f>J8*J10</f>
        <v>1231.1268352726231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3.4063362662640504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73.819148597252607</v>
      </c>
      <c r="C26" s="247">
        <f>B26*'GWP N2O_CH4'!B5</f>
        <v>1550.2021205423048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6.8849493070985872</v>
      </c>
      <c r="C27" s="247">
        <f>B27*'GWP N2O_CH4'!B5</f>
        <v>144.58393544907034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0.92896681313881446</v>
      </c>
      <c r="C28" s="247">
        <f>B28*'GWP N2O_CH4'!B4</f>
        <v>287.97971207303249</v>
      </c>
      <c r="D28" s="50"/>
    </row>
    <row r="29" spans="1:4">
      <c r="A29" s="41" t="s">
        <v>277</v>
      </c>
      <c r="B29" s="247">
        <f>B34*'ha_N2O bodem landbouw'!B4</f>
        <v>8.0442505496339525</v>
      </c>
      <c r="C29" s="247">
        <f>B29*'GWP N2O_CH4'!B4</f>
        <v>2493.7176703865252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1.8356702537058154E-3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4.1584176792001885E-3</v>
      </c>
      <c r="C5" s="463" t="s">
        <v>211</v>
      </c>
      <c r="D5" s="448">
        <f>SUM(D6:D11)</f>
        <v>1.4080019649849139E-2</v>
      </c>
      <c r="E5" s="448">
        <f>SUM(E6:E11)</f>
        <v>2.1457460190855569E-2</v>
      </c>
      <c r="F5" s="461" t="s">
        <v>211</v>
      </c>
      <c r="G5" s="448">
        <f>SUM(G6:G11)</f>
        <v>8.6398253191747933</v>
      </c>
      <c r="H5" s="448">
        <f>SUM(H6:H11)</f>
        <v>1.6285278197111852</v>
      </c>
      <c r="I5" s="463" t="s">
        <v>211</v>
      </c>
      <c r="J5" s="463" t="s">
        <v>211</v>
      </c>
      <c r="K5" s="463" t="s">
        <v>211</v>
      </c>
      <c r="L5" s="463" t="s">
        <v>211</v>
      </c>
      <c r="M5" s="448">
        <f>SUM(M6:M11)</f>
        <v>0.55312332556282184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1.2185382208062909E-3</v>
      </c>
      <c r="C6" s="449"/>
      <c r="D6" s="962">
        <f>vkm_2011_GW_PW*SUMIFS(TableVerdeelsleutelVkm[CNG],TableVerdeelsleutelVkm[Voertuigtype],"Lichte voertuigen")*SUMIFS(TableECFTransport[EnergieConsumptieFactor (PJ per km)],TableECFTransport[Index],CONCATENATE($A6,"_CNG_CNG"))</f>
        <v>3.6549152850961814E-3</v>
      </c>
      <c r="E6" s="962">
        <f>vkm_2011_GW_PW*SUMIFS(TableVerdeelsleutelVkm[LPG],TableVerdeelsleutelVkm[Voertuigtype],"Lichte voertuigen")*SUMIFS(TableECFTransport[EnergieConsumptieFactor (PJ per km)],TableECFTransport[Index],CONCATENATE($A6,"_LPG_LPG"))</f>
        <v>4.9931392821487702E-3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1.2909969293014276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0.41563184891609561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8.7761779431112782E-2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0.49767053493779417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1.5165333656678691E-4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2.9082213546450578E-2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5.4709987754611249E-4</v>
      </c>
      <c r="C8" s="449"/>
      <c r="D8" s="451">
        <f>vkm_2011_NGW_PW*SUMIFS(TableVerdeelsleutelVkm[CNG],TableVerdeelsleutelVkm[Voertuigtype],"Lichte voertuigen")*SUMIFS(TableECFTransport[EnergieConsumptieFactor (PJ per km)],TableECFTransport[Index],CONCATENATE($A8,"_CNG_CNG"))</f>
        <v>2.9176908257094666E-3</v>
      </c>
      <c r="E8" s="451">
        <f>vkm_2011_NGW_PW*SUMIFS(TableVerdeelsleutelVkm[LPG],TableVerdeelsleutelVkm[Voertuigtype],"Lichte voertuigen")*SUMIFS(TableECFTransport[EnergieConsumptieFactor (PJ per km)],TableECFTransport[Index],CONCATENATE($A8,"_LPG_LPG"))</f>
        <v>3.6914742052626529E-3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0.88944269241372509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0.32243276285333178</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6.1534678719555869E-2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0.15539107365745825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4.4577587415575549E-5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9.0804560582021018E-3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2.3927795808477855E-3</v>
      </c>
      <c r="C10" s="449"/>
      <c r="D10" s="451">
        <f>vkm_2011_SW_PW*SUMIFS(TableVerdeelsleutelVkm[CNG],TableVerdeelsleutelVkm[Voertuigtype],"Lichte voertuigen")*SUMIFS(TableECFTransport[EnergieConsumptieFactor (PJ per km)],TableECFTransport[Index],CONCATENATE($A10,"_CNG_CNG"))</f>
        <v>7.5074135390434905E-3</v>
      </c>
      <c r="E10" s="451">
        <f>vkm_2011_SW_PW*SUMIFS(TableVerdeelsleutelVkm[LPG],TableVerdeelsleutelVkm[Voertuigtype],"Lichte voertuigen")*SUMIFS(TableECFTransport[EnergieConsumptieFactor (PJ per km)],TableECFTransport[Index],CONCATENATE($A10,"_LPG_LPG"))</f>
        <v>1.2772846703444146E-2</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2.9441701045518349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0.88932512523687801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0.19840735538904899</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2.862153984312553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9.4185178089739965E-4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0.16725684241845151</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1155.1160220000522</v>
      </c>
      <c r="C14" s="21"/>
      <c r="D14" s="21">
        <f t="shared" ref="D14:M14" si="0">((D5)*10^9/3600)+D12</f>
        <v>3911.1165694025385</v>
      </c>
      <c r="E14" s="21">
        <f t="shared" si="0"/>
        <v>5960.4056085709917</v>
      </c>
      <c r="F14" s="21"/>
      <c r="G14" s="21">
        <f t="shared" si="0"/>
        <v>2399951.4775485536</v>
      </c>
      <c r="H14" s="21">
        <f t="shared" si="0"/>
        <v>452368.83880866255</v>
      </c>
      <c r="I14" s="21"/>
      <c r="J14" s="21"/>
      <c r="K14" s="21"/>
      <c r="L14" s="21"/>
      <c r="M14" s="21">
        <f t="shared" si="0"/>
        <v>153645.36821189497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0.20686938294932292</v>
      </c>
      <c r="C16" s="56">
        <f ca="1">'EF ele_warmte'!B22</f>
        <v>0.23764619518987823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238.95813870602731</v>
      </c>
      <c r="C18" s="23"/>
      <c r="D18" s="23">
        <f t="shared" ref="D18:M18" si="1">D14*D16</f>
        <v>790.04554701931283</v>
      </c>
      <c r="E18" s="23">
        <f t="shared" si="1"/>
        <v>1353.0120731456152</v>
      </c>
      <c r="F18" s="23"/>
      <c r="G18" s="23">
        <f t="shared" si="1"/>
        <v>640787.0445054638</v>
      </c>
      <c r="H18" s="23">
        <f t="shared" si="1"/>
        <v>112639.84086335698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0.12307334129554773</v>
      </c>
      <c r="C50" s="321">
        <f t="shared" ref="C50:P50" si="2">SUM(C51:C52)</f>
        <v>0</v>
      </c>
      <c r="D50" s="321">
        <f t="shared" si="2"/>
        <v>0</v>
      </c>
      <c r="E50" s="321">
        <f t="shared" si="2"/>
        <v>0</v>
      </c>
      <c r="F50" s="321">
        <f t="shared" si="2"/>
        <v>0</v>
      </c>
      <c r="G50" s="321">
        <f t="shared" si="2"/>
        <v>0.16797551693820084</v>
      </c>
      <c r="H50" s="321">
        <f t="shared" si="2"/>
        <v>0</v>
      </c>
      <c r="I50" s="321">
        <f t="shared" si="2"/>
        <v>0</v>
      </c>
      <c r="J50" s="321">
        <f t="shared" si="2"/>
        <v>0</v>
      </c>
      <c r="K50" s="321">
        <f t="shared" si="2"/>
        <v>0</v>
      </c>
      <c r="L50" s="321">
        <f t="shared" si="2"/>
        <v>0</v>
      </c>
      <c r="M50" s="321">
        <f t="shared" si="2"/>
        <v>9.5402678213395466E-3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0.16797551693820084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9.5402678213395466E-3</v>
      </c>
      <c r="N51" s="323"/>
      <c r="O51" s="323"/>
      <c r="P51" s="326"/>
    </row>
    <row r="52" spans="1:18">
      <c r="A52" s="4" t="s">
        <v>330</v>
      </c>
      <c r="B52" s="963">
        <f>vkm_2011_tram*SUMIFS(TableECFTransport[EnergieConsumptieFactor (PJ per km)],TableECFTransport[Index],"Tram_gemiddeld_Electric_Electric")</f>
        <v>0.12307334129554773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34187.039248763256</v>
      </c>
      <c r="C54" s="21">
        <f t="shared" ref="C54:P54" si="3">(C50)*10^9/3600</f>
        <v>0</v>
      </c>
      <c r="D54" s="21">
        <f t="shared" si="3"/>
        <v>0</v>
      </c>
      <c r="E54" s="21">
        <f t="shared" si="3"/>
        <v>0</v>
      </c>
      <c r="F54" s="21">
        <f t="shared" si="3"/>
        <v>0</v>
      </c>
      <c r="G54" s="21">
        <f t="shared" si="3"/>
        <v>46659.865816166901</v>
      </c>
      <c r="H54" s="21">
        <f t="shared" si="3"/>
        <v>0</v>
      </c>
      <c r="I54" s="21">
        <f t="shared" si="3"/>
        <v>0</v>
      </c>
      <c r="J54" s="21">
        <f t="shared" si="3"/>
        <v>0</v>
      </c>
      <c r="K54" s="21">
        <f t="shared" si="3"/>
        <v>0</v>
      </c>
      <c r="L54" s="21">
        <f t="shared" si="3"/>
        <v>0</v>
      </c>
      <c r="M54" s="21">
        <f t="shared" si="3"/>
        <v>2650.0743948165405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0.20686938294932292</v>
      </c>
      <c r="C56" s="56">
        <f ca="1">'EF ele_warmte'!B22</f>
        <v>0.23764619518987823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7072.2517142559391</v>
      </c>
      <c r="C58" s="23">
        <f t="shared" ref="C58:P58" ca="1" si="4">C54*C56</f>
        <v>0</v>
      </c>
      <c r="D58" s="23">
        <f t="shared" si="4"/>
        <v>0</v>
      </c>
      <c r="E58" s="23">
        <f t="shared" si="4"/>
        <v>0</v>
      </c>
      <c r="F58" s="23">
        <f t="shared" si="4"/>
        <v>0</v>
      </c>
      <c r="G58" s="23">
        <f t="shared" si="4"/>
        <v>12458.184172916563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4"/>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64502.140318971513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59840.774239518083</v>
      </c>
      <c r="C6" s="1263"/>
      <c r="D6" s="1248"/>
      <c r="E6" s="1248"/>
      <c r="F6" s="1266"/>
      <c r="G6" s="1269"/>
      <c r="H6" s="1260"/>
      <c r="I6" s="1248"/>
      <c r="J6" s="1248"/>
      <c r="K6" s="1248"/>
      <c r="L6" s="1252"/>
      <c r="M6" s="575"/>
      <c r="N6" s="1226"/>
      <c r="O6" s="1227"/>
      <c r="Q6" s="573"/>
      <c r="R6" s="1214"/>
      <c r="S6" s="1214"/>
    </row>
    <row r="7" spans="1:19" s="563" customFormat="1">
      <c r="A7" s="576" t="s">
        <v>252</v>
      </c>
      <c r="B7" s="577">
        <f>N57</f>
        <v>10845.708333333334</v>
      </c>
      <c r="C7" s="578">
        <f>B100</f>
        <v>12759.610492850603</v>
      </c>
      <c r="D7" s="579"/>
      <c r="E7" s="579">
        <f>E100</f>
        <v>0</v>
      </c>
      <c r="F7" s="580"/>
      <c r="G7" s="581"/>
      <c r="H7" s="579">
        <f>I100</f>
        <v>0</v>
      </c>
      <c r="I7" s="579">
        <f>G100+F100</f>
        <v>0</v>
      </c>
      <c r="J7" s="579">
        <f>H100+D100+C100</f>
        <v>0</v>
      </c>
      <c r="K7" s="579"/>
      <c r="L7" s="582"/>
      <c r="M7" s="583">
        <f>C7*$C$11+D7*$D$11+E7*$E$11+F7*$F$11+G7*$G$11+H7*$H$11+I7*$I$11+J7*$J$11</f>
        <v>2577.4413195558218</v>
      </c>
      <c r="N7" s="1226"/>
      <c r="O7" s="1227"/>
      <c r="Q7" s="573"/>
      <c r="R7" s="1214"/>
      <c r="S7" s="1214"/>
    </row>
    <row r="8" spans="1:19" s="563" customFormat="1" ht="17.45" customHeight="1" thickBot="1">
      <c r="A8" s="584" t="s">
        <v>248</v>
      </c>
      <c r="B8" s="585">
        <f>N88+'Eigen informatie GS &amp; warmtenet'!B12</f>
        <v>19768.5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154957.12289182295</v>
      </c>
      <c r="C9" s="594">
        <f t="shared" ref="C9:L9" si="0">SUM(C7:C8)</f>
        <v>12759.610492850603</v>
      </c>
      <c r="D9" s="594">
        <f t="shared" si="0"/>
        <v>0</v>
      </c>
      <c r="E9" s="594">
        <f t="shared" si="0"/>
        <v>0</v>
      </c>
      <c r="F9" s="594">
        <f t="shared" si="0"/>
        <v>0</v>
      </c>
      <c r="G9" s="594">
        <f t="shared" si="0"/>
        <v>0</v>
      </c>
      <c r="H9" s="594">
        <f t="shared" si="0"/>
        <v>0</v>
      </c>
      <c r="I9" s="594">
        <f t="shared" si="0"/>
        <v>0</v>
      </c>
      <c r="J9" s="594">
        <f t="shared" si="0"/>
        <v>56481.428571428572</v>
      </c>
      <c r="K9" s="594">
        <f t="shared" si="0"/>
        <v>0</v>
      </c>
      <c r="L9" s="594">
        <f t="shared" si="0"/>
        <v>0</v>
      </c>
      <c r="M9" s="595">
        <f>SUM(M4:M8)</f>
        <v>2577.4413195558218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15493.871782496784</v>
      </c>
      <c r="C16" s="610">
        <f>B101</f>
        <v>18228.018207278103</v>
      </c>
      <c r="D16" s="611"/>
      <c r="E16" s="611">
        <f>E101</f>
        <v>0</v>
      </c>
      <c r="F16" s="612"/>
      <c r="G16" s="613"/>
      <c r="H16" s="610">
        <f>I101</f>
        <v>0</v>
      </c>
      <c r="I16" s="611">
        <f>G101+F101</f>
        <v>0</v>
      </c>
      <c r="J16" s="611">
        <f>H101+D101+C101</f>
        <v>0</v>
      </c>
      <c r="K16" s="611"/>
      <c r="L16" s="614"/>
      <c r="M16" s="615">
        <f>C16*$C$21+E16*$E$21+H16*$H$21+I16*$I$21+J16*$J$21+D16*$D$21+F16*$F$21+G16*$G$21+K16*$K$21+L16*$L$21</f>
        <v>3682.059677870177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15493.871782496784</v>
      </c>
      <c r="C19" s="593">
        <f>SUM(C16:C18)</f>
        <v>18228.018207278103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3682.059677870177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11002</v>
      </c>
      <c r="C27" s="851">
        <v>2018</v>
      </c>
      <c r="D27" s="672" t="s">
        <v>844</v>
      </c>
      <c r="E27" s="671" t="s">
        <v>845</v>
      </c>
      <c r="F27" s="671" t="s">
        <v>846</v>
      </c>
      <c r="G27" s="671" t="s">
        <v>847</v>
      </c>
      <c r="H27" s="671" t="s">
        <v>848</v>
      </c>
      <c r="I27" s="671" t="s">
        <v>845</v>
      </c>
      <c r="J27" s="850">
        <v>39370</v>
      </c>
      <c r="K27" s="850">
        <v>39448</v>
      </c>
      <c r="L27" s="671" t="s">
        <v>849</v>
      </c>
      <c r="M27" s="671">
        <v>220</v>
      </c>
      <c r="N27" s="671">
        <v>990</v>
      </c>
      <c r="O27" s="671">
        <v>1414.2857142857142</v>
      </c>
      <c r="P27" s="671">
        <v>2828.5714285714289</v>
      </c>
      <c r="Q27" s="671">
        <v>0</v>
      </c>
      <c r="R27" s="671">
        <v>0</v>
      </c>
      <c r="S27" s="671">
        <v>0</v>
      </c>
      <c r="T27" s="671">
        <v>0</v>
      </c>
      <c r="U27" s="671">
        <v>0</v>
      </c>
      <c r="V27" s="671">
        <v>0</v>
      </c>
      <c r="W27" s="671">
        <v>0</v>
      </c>
      <c r="X27" s="671">
        <v>1500</v>
      </c>
      <c r="Y27" s="671" t="s">
        <v>51</v>
      </c>
      <c r="Z27" s="673" t="s">
        <v>156</v>
      </c>
    </row>
    <row r="28" spans="1:26" s="625" customFormat="1" ht="25.5">
      <c r="A28" s="624"/>
      <c r="B28" s="851">
        <v>11002</v>
      </c>
      <c r="C28" s="851">
        <v>2170</v>
      </c>
      <c r="D28" s="672" t="s">
        <v>850</v>
      </c>
      <c r="E28" s="671" t="s">
        <v>851</v>
      </c>
      <c r="F28" s="671" t="s">
        <v>852</v>
      </c>
      <c r="G28" s="671" t="s">
        <v>847</v>
      </c>
      <c r="H28" s="671" t="s">
        <v>848</v>
      </c>
      <c r="I28" s="671" t="s">
        <v>851</v>
      </c>
      <c r="J28" s="850">
        <v>39797</v>
      </c>
      <c r="K28" s="850">
        <v>39812</v>
      </c>
      <c r="L28" s="671" t="s">
        <v>849</v>
      </c>
      <c r="M28" s="671">
        <v>806</v>
      </c>
      <c r="N28" s="671">
        <v>3627</v>
      </c>
      <c r="O28" s="671">
        <v>5181.4285714285716</v>
      </c>
      <c r="P28" s="671">
        <v>10362.857142857143</v>
      </c>
      <c r="Q28" s="671">
        <v>0</v>
      </c>
      <c r="R28" s="671">
        <v>0</v>
      </c>
      <c r="S28" s="671">
        <v>0</v>
      </c>
      <c r="T28" s="671">
        <v>0</v>
      </c>
      <c r="U28" s="671">
        <v>0</v>
      </c>
      <c r="V28" s="671">
        <v>0</v>
      </c>
      <c r="W28" s="671">
        <v>0</v>
      </c>
      <c r="X28" s="671">
        <v>500</v>
      </c>
      <c r="Y28" s="671" t="s">
        <v>41</v>
      </c>
      <c r="Z28" s="673" t="s">
        <v>389</v>
      </c>
    </row>
    <row r="29" spans="1:26" s="625" customFormat="1" ht="38.25">
      <c r="A29" s="624"/>
      <c r="B29" s="851">
        <v>11002</v>
      </c>
      <c r="C29" s="851">
        <v>2020</v>
      </c>
      <c r="D29" s="672" t="s">
        <v>853</v>
      </c>
      <c r="E29" s="671" t="s">
        <v>854</v>
      </c>
      <c r="F29" s="671" t="s">
        <v>855</v>
      </c>
      <c r="G29" s="671" t="s">
        <v>847</v>
      </c>
      <c r="H29" s="671" t="s">
        <v>848</v>
      </c>
      <c r="I29" s="671" t="s">
        <v>854</v>
      </c>
      <c r="J29" s="850">
        <v>40483</v>
      </c>
      <c r="K29" s="850">
        <v>40603</v>
      </c>
      <c r="L29" s="671" t="s">
        <v>849</v>
      </c>
      <c r="M29" s="671">
        <v>834</v>
      </c>
      <c r="N29" s="671">
        <v>3753</v>
      </c>
      <c r="O29" s="671">
        <v>5361.4285714285716</v>
      </c>
      <c r="P29" s="671">
        <v>10722.857142857143</v>
      </c>
      <c r="Q29" s="671">
        <v>0</v>
      </c>
      <c r="R29" s="671">
        <v>0</v>
      </c>
      <c r="S29" s="671">
        <v>0</v>
      </c>
      <c r="T29" s="671">
        <v>0</v>
      </c>
      <c r="U29" s="671">
        <v>0</v>
      </c>
      <c r="V29" s="671">
        <v>0</v>
      </c>
      <c r="W29" s="671">
        <v>0</v>
      </c>
      <c r="X29" s="671">
        <v>1500</v>
      </c>
      <c r="Y29" s="671" t="s">
        <v>51</v>
      </c>
      <c r="Z29" s="673" t="s">
        <v>156</v>
      </c>
    </row>
    <row r="30" spans="1:26" s="625" customFormat="1" ht="38.25">
      <c r="A30" s="624"/>
      <c r="B30" s="851">
        <v>11002</v>
      </c>
      <c r="C30" s="851">
        <v>2018</v>
      </c>
      <c r="D30" s="672" t="s">
        <v>856</v>
      </c>
      <c r="E30" s="671" t="s">
        <v>857</v>
      </c>
      <c r="F30" s="671" t="s">
        <v>858</v>
      </c>
      <c r="G30" s="671" t="s">
        <v>847</v>
      </c>
      <c r="H30" s="671" t="s">
        <v>848</v>
      </c>
      <c r="I30" s="671" t="s">
        <v>857</v>
      </c>
      <c r="J30" s="850">
        <v>40470</v>
      </c>
      <c r="K30" s="850">
        <v>40756</v>
      </c>
      <c r="L30" s="671" t="s">
        <v>849</v>
      </c>
      <c r="M30" s="671">
        <v>60</v>
      </c>
      <c r="N30" s="671">
        <v>270</v>
      </c>
      <c r="O30" s="671">
        <v>385.71428571428572</v>
      </c>
      <c r="P30" s="671">
        <v>771.42857142857144</v>
      </c>
      <c r="Q30" s="671">
        <v>0</v>
      </c>
      <c r="R30" s="671">
        <v>0</v>
      </c>
      <c r="S30" s="671">
        <v>0</v>
      </c>
      <c r="T30" s="671">
        <v>0</v>
      </c>
      <c r="U30" s="671">
        <v>0</v>
      </c>
      <c r="V30" s="671">
        <v>0</v>
      </c>
      <c r="W30" s="671">
        <v>0</v>
      </c>
      <c r="X30" s="671">
        <v>1500</v>
      </c>
      <c r="Y30" s="671" t="s">
        <v>51</v>
      </c>
      <c r="Z30" s="673" t="s">
        <v>156</v>
      </c>
    </row>
    <row r="31" spans="1:26" s="625" customFormat="1" ht="63.75">
      <c r="A31" s="624"/>
      <c r="B31" s="851">
        <v>11002</v>
      </c>
      <c r="C31" s="851">
        <v>2170</v>
      </c>
      <c r="D31" s="672" t="s">
        <v>859</v>
      </c>
      <c r="E31" s="671" t="s">
        <v>860</v>
      </c>
      <c r="F31" s="671" t="s">
        <v>861</v>
      </c>
      <c r="G31" s="671" t="s">
        <v>847</v>
      </c>
      <c r="H31" s="671" t="s">
        <v>848</v>
      </c>
      <c r="I31" s="671" t="s">
        <v>862</v>
      </c>
      <c r="J31" s="850">
        <v>41023</v>
      </c>
      <c r="K31" s="850">
        <v>40942</v>
      </c>
      <c r="L31" s="671" t="s">
        <v>849</v>
      </c>
      <c r="M31" s="671">
        <v>70</v>
      </c>
      <c r="N31" s="671">
        <v>315.00000000000006</v>
      </c>
      <c r="O31" s="671">
        <v>450.00000000000011</v>
      </c>
      <c r="P31" s="671">
        <v>900.00000000000023</v>
      </c>
      <c r="Q31" s="671">
        <v>0</v>
      </c>
      <c r="R31" s="671">
        <v>0</v>
      </c>
      <c r="S31" s="671">
        <v>0</v>
      </c>
      <c r="T31" s="671">
        <v>0</v>
      </c>
      <c r="U31" s="671">
        <v>0</v>
      </c>
      <c r="V31" s="671">
        <v>0</v>
      </c>
      <c r="W31" s="671">
        <v>0</v>
      </c>
      <c r="X31" s="671">
        <v>1600</v>
      </c>
      <c r="Y31" s="671" t="s">
        <v>50</v>
      </c>
      <c r="Z31" s="673" t="s">
        <v>156</v>
      </c>
    </row>
    <row r="32" spans="1:26" s="625" customFormat="1" ht="63.75">
      <c r="A32" s="624"/>
      <c r="B32" s="851">
        <v>11002</v>
      </c>
      <c r="C32" s="851">
        <v>2610</v>
      </c>
      <c r="D32" s="672" t="s">
        <v>859</v>
      </c>
      <c r="E32" s="671" t="s">
        <v>860</v>
      </c>
      <c r="F32" s="671" t="s">
        <v>863</v>
      </c>
      <c r="G32" s="671" t="s">
        <v>847</v>
      </c>
      <c r="H32" s="671" t="s">
        <v>848</v>
      </c>
      <c r="I32" s="671" t="s">
        <v>864</v>
      </c>
      <c r="J32" s="850">
        <v>40963</v>
      </c>
      <c r="K32" s="850">
        <v>41153</v>
      </c>
      <c r="L32" s="671" t="s">
        <v>849</v>
      </c>
      <c r="M32" s="671">
        <v>70</v>
      </c>
      <c r="N32" s="671">
        <v>315.00000000000006</v>
      </c>
      <c r="O32" s="671">
        <v>450.00000000000011</v>
      </c>
      <c r="P32" s="671">
        <v>900.00000000000023</v>
      </c>
      <c r="Q32" s="671">
        <v>0</v>
      </c>
      <c r="R32" s="671">
        <v>0</v>
      </c>
      <c r="S32" s="671">
        <v>0</v>
      </c>
      <c r="T32" s="671">
        <v>0</v>
      </c>
      <c r="U32" s="671">
        <v>0</v>
      </c>
      <c r="V32" s="671">
        <v>0</v>
      </c>
      <c r="W32" s="671">
        <v>0</v>
      </c>
      <c r="X32" s="671">
        <v>1600</v>
      </c>
      <c r="Y32" s="671" t="s">
        <v>50</v>
      </c>
      <c r="Z32" s="673" t="s">
        <v>156</v>
      </c>
    </row>
    <row r="33" spans="1:26" s="625" customFormat="1" ht="63.75">
      <c r="A33" s="624"/>
      <c r="B33" s="851">
        <v>11002</v>
      </c>
      <c r="C33" s="851">
        <v>2018</v>
      </c>
      <c r="D33" s="672" t="s">
        <v>859</v>
      </c>
      <c r="E33" s="671" t="s">
        <v>860</v>
      </c>
      <c r="F33" s="671" t="s">
        <v>865</v>
      </c>
      <c r="G33" s="671" t="s">
        <v>847</v>
      </c>
      <c r="H33" s="671" t="s">
        <v>848</v>
      </c>
      <c r="I33" s="671" t="s">
        <v>866</v>
      </c>
      <c r="J33" s="850">
        <v>40963</v>
      </c>
      <c r="K33" s="850">
        <v>41183</v>
      </c>
      <c r="L33" s="671" t="s">
        <v>849</v>
      </c>
      <c r="M33" s="671">
        <v>199</v>
      </c>
      <c r="N33" s="671">
        <v>895.5</v>
      </c>
      <c r="O33" s="671">
        <v>1279.2857142857142</v>
      </c>
      <c r="P33" s="671">
        <v>2558.5714285714289</v>
      </c>
      <c r="Q33" s="671">
        <v>0</v>
      </c>
      <c r="R33" s="671">
        <v>0</v>
      </c>
      <c r="S33" s="671">
        <v>0</v>
      </c>
      <c r="T33" s="671">
        <v>0</v>
      </c>
      <c r="U33" s="671">
        <v>0</v>
      </c>
      <c r="V33" s="671">
        <v>0</v>
      </c>
      <c r="W33" s="671">
        <v>0</v>
      </c>
      <c r="X33" s="671">
        <v>1600</v>
      </c>
      <c r="Y33" s="671" t="s">
        <v>50</v>
      </c>
      <c r="Z33" s="673" t="s">
        <v>156</v>
      </c>
    </row>
    <row r="34" spans="1:26" s="625" customFormat="1" ht="63.75">
      <c r="A34" s="624"/>
      <c r="B34" s="851">
        <v>11002</v>
      </c>
      <c r="C34" s="851">
        <v>2660</v>
      </c>
      <c r="D34" s="672" t="s">
        <v>859</v>
      </c>
      <c r="E34" s="671" t="s">
        <v>860</v>
      </c>
      <c r="F34" s="671" t="s">
        <v>867</v>
      </c>
      <c r="G34" s="671" t="s">
        <v>847</v>
      </c>
      <c r="H34" s="671" t="s">
        <v>848</v>
      </c>
      <c r="I34" s="671" t="s">
        <v>868</v>
      </c>
      <c r="J34" s="850">
        <v>41257</v>
      </c>
      <c r="K34" s="850">
        <v>41183</v>
      </c>
      <c r="L34" s="671" t="s">
        <v>869</v>
      </c>
      <c r="M34" s="671">
        <v>70</v>
      </c>
      <c r="N34" s="671">
        <v>315.00000000000006</v>
      </c>
      <c r="O34" s="671">
        <v>450.00000000000011</v>
      </c>
      <c r="P34" s="671">
        <v>900.00000000000023</v>
      </c>
      <c r="Q34" s="671">
        <v>0</v>
      </c>
      <c r="R34" s="671">
        <v>0</v>
      </c>
      <c r="S34" s="671">
        <v>0</v>
      </c>
      <c r="T34" s="671">
        <v>0</v>
      </c>
      <c r="U34" s="671">
        <v>0</v>
      </c>
      <c r="V34" s="671">
        <v>0</v>
      </c>
      <c r="W34" s="671">
        <v>0</v>
      </c>
      <c r="X34" s="671">
        <v>1600</v>
      </c>
      <c r="Y34" s="671" t="s">
        <v>50</v>
      </c>
      <c r="Z34" s="673" t="s">
        <v>156</v>
      </c>
    </row>
    <row r="35" spans="1:26" s="625" customFormat="1" ht="63.75">
      <c r="A35" s="624"/>
      <c r="B35" s="851">
        <v>11002</v>
      </c>
      <c r="C35" s="851">
        <v>2140</v>
      </c>
      <c r="D35" s="672" t="s">
        <v>859</v>
      </c>
      <c r="E35" s="671" t="s">
        <v>860</v>
      </c>
      <c r="F35" s="671" t="s">
        <v>870</v>
      </c>
      <c r="G35" s="671" t="s">
        <v>847</v>
      </c>
      <c r="H35" s="671" t="s">
        <v>848</v>
      </c>
      <c r="I35" s="671" t="s">
        <v>871</v>
      </c>
      <c r="J35" s="850">
        <v>41753</v>
      </c>
      <c r="K35" s="850">
        <v>41629</v>
      </c>
      <c r="L35" s="671" t="s">
        <v>849</v>
      </c>
      <c r="M35" s="671">
        <v>70</v>
      </c>
      <c r="N35" s="671">
        <v>315.00000000000006</v>
      </c>
      <c r="O35" s="671">
        <v>450.00000000000011</v>
      </c>
      <c r="P35" s="671">
        <v>900.00000000000023</v>
      </c>
      <c r="Q35" s="671">
        <v>0</v>
      </c>
      <c r="R35" s="671">
        <v>0</v>
      </c>
      <c r="S35" s="671">
        <v>0</v>
      </c>
      <c r="T35" s="671">
        <v>0</v>
      </c>
      <c r="U35" s="671">
        <v>0</v>
      </c>
      <c r="V35" s="671">
        <v>0</v>
      </c>
      <c r="W35" s="671">
        <v>0</v>
      </c>
      <c r="X35" s="671">
        <v>1600</v>
      </c>
      <c r="Y35" s="671" t="s">
        <v>50</v>
      </c>
      <c r="Z35" s="673" t="s">
        <v>156</v>
      </c>
    </row>
    <row r="36" spans="1:26" s="625" customFormat="1" ht="25.5">
      <c r="A36" s="624"/>
      <c r="B36" s="851">
        <v>11002</v>
      </c>
      <c r="C36" s="851">
        <v>2000</v>
      </c>
      <c r="D36" s="672" t="s">
        <v>872</v>
      </c>
      <c r="E36" s="671" t="s">
        <v>873</v>
      </c>
      <c r="F36" s="671" t="s">
        <v>874</v>
      </c>
      <c r="G36" s="671" t="s">
        <v>847</v>
      </c>
      <c r="H36" s="671" t="s">
        <v>848</v>
      </c>
      <c r="I36" s="671" t="s">
        <v>875</v>
      </c>
      <c r="J36" s="850">
        <v>41654</v>
      </c>
      <c r="K36" s="850">
        <v>41656</v>
      </c>
      <c r="L36" s="671" t="s">
        <v>869</v>
      </c>
      <c r="M36" s="671">
        <v>5.5</v>
      </c>
      <c r="N36" s="671">
        <v>24.75</v>
      </c>
      <c r="O36" s="671">
        <v>35.357142857142861</v>
      </c>
      <c r="P36" s="671">
        <v>70.714285714285722</v>
      </c>
      <c r="Q36" s="671">
        <v>0</v>
      </c>
      <c r="R36" s="671">
        <v>0</v>
      </c>
      <c r="S36" s="671">
        <v>0</v>
      </c>
      <c r="T36" s="671">
        <v>0</v>
      </c>
      <c r="U36" s="671">
        <v>0</v>
      </c>
      <c r="V36" s="671">
        <v>0</v>
      </c>
      <c r="W36" s="671">
        <v>0</v>
      </c>
      <c r="X36" s="671">
        <v>1300</v>
      </c>
      <c r="Y36" s="671" t="s">
        <v>54</v>
      </c>
      <c r="Z36" s="673" t="s">
        <v>156</v>
      </c>
    </row>
    <row r="37" spans="1:26" s="625" customFormat="1" ht="63.75">
      <c r="A37" s="624"/>
      <c r="B37" s="851">
        <v>11002</v>
      </c>
      <c r="C37" s="851">
        <v>2000</v>
      </c>
      <c r="D37" s="672"/>
      <c r="E37" s="671"/>
      <c r="F37" s="671" t="s">
        <v>876</v>
      </c>
      <c r="G37" s="671" t="s">
        <v>847</v>
      </c>
      <c r="H37" s="671" t="s">
        <v>848</v>
      </c>
      <c r="I37" s="671" t="s">
        <v>877</v>
      </c>
      <c r="J37" s="850">
        <v>42321</v>
      </c>
      <c r="K37" s="850">
        <v>42303</v>
      </c>
      <c r="L37" s="671" t="s">
        <v>849</v>
      </c>
      <c r="M37" s="671">
        <v>33</v>
      </c>
      <c r="N37" s="671">
        <v>24.75</v>
      </c>
      <c r="O37" s="671">
        <v>35.357142857142861</v>
      </c>
      <c r="P37" s="671">
        <v>70.714285714285722</v>
      </c>
      <c r="Q37" s="671">
        <v>0</v>
      </c>
      <c r="R37" s="671">
        <v>0</v>
      </c>
      <c r="S37" s="671">
        <v>0</v>
      </c>
      <c r="T37" s="671">
        <v>0</v>
      </c>
      <c r="U37" s="671">
        <v>0</v>
      </c>
      <c r="V37" s="671">
        <v>0</v>
      </c>
      <c r="W37" s="671">
        <v>0</v>
      </c>
      <c r="X37" s="671">
        <v>1600</v>
      </c>
      <c r="Y37" s="671" t="s">
        <v>50</v>
      </c>
      <c r="Z37" s="673" t="s">
        <v>156</v>
      </c>
    </row>
    <row r="38" spans="1:26" s="625" customFormat="1" ht="38.25">
      <c r="A38" s="624"/>
      <c r="B38" s="851">
        <v>11002</v>
      </c>
      <c r="C38" s="851">
        <v>2000</v>
      </c>
      <c r="D38" s="672" t="s">
        <v>878</v>
      </c>
      <c r="E38" s="671" t="s">
        <v>879</v>
      </c>
      <c r="F38" s="671" t="s">
        <v>880</v>
      </c>
      <c r="G38" s="671" t="s">
        <v>881</v>
      </c>
      <c r="H38" s="671" t="s">
        <v>881</v>
      </c>
      <c r="I38" s="671" t="s">
        <v>879</v>
      </c>
      <c r="J38" s="850">
        <v>42328</v>
      </c>
      <c r="K38" s="850">
        <v>42328</v>
      </c>
      <c r="L38" s="671" t="s">
        <v>849</v>
      </c>
      <c r="M38" s="671">
        <v>1.7</v>
      </c>
      <c r="N38" s="671">
        <v>0.70833333333333326</v>
      </c>
      <c r="O38" s="671">
        <v>1.0146396396396395</v>
      </c>
      <c r="P38" s="671">
        <v>1.9144144144144142</v>
      </c>
      <c r="Q38" s="671">
        <v>0</v>
      </c>
      <c r="R38" s="671">
        <v>0</v>
      </c>
      <c r="S38" s="671">
        <v>0</v>
      </c>
      <c r="T38" s="671">
        <v>0</v>
      </c>
      <c r="U38" s="671">
        <v>0</v>
      </c>
      <c r="V38" s="671">
        <v>0</v>
      </c>
      <c r="W38" s="671">
        <v>0</v>
      </c>
      <c r="X38" s="671">
        <v>1300</v>
      </c>
      <c r="Y38" s="671" t="s">
        <v>54</v>
      </c>
      <c r="Z38" s="673" t="s">
        <v>156</v>
      </c>
    </row>
    <row r="39" spans="1:26" s="625" customFormat="1" ht="25.5">
      <c r="A39" s="624"/>
      <c r="B39" s="851">
        <v>11002</v>
      </c>
      <c r="C39" s="851">
        <v>2000</v>
      </c>
      <c r="D39" s="672" t="s">
        <v>882</v>
      </c>
      <c r="E39" s="671"/>
      <c r="F39" s="671" t="s">
        <v>883</v>
      </c>
      <c r="G39" s="671" t="s">
        <v>884</v>
      </c>
      <c r="H39" s="671" t="s">
        <v>848</v>
      </c>
      <c r="I39" s="671" t="s">
        <v>885</v>
      </c>
      <c r="J39" s="850">
        <v>42740</v>
      </c>
      <c r="K39" s="850">
        <v>42712</v>
      </c>
      <c r="L39" s="671" t="s">
        <v>886</v>
      </c>
      <c r="M39" s="671">
        <v>143</v>
      </c>
      <c r="N39" s="671">
        <v>0</v>
      </c>
      <c r="O39" s="671">
        <v>0</v>
      </c>
      <c r="P39" s="671">
        <v>0</v>
      </c>
      <c r="Q39" s="671">
        <v>0</v>
      </c>
      <c r="R39" s="671">
        <v>0</v>
      </c>
      <c r="S39" s="671">
        <v>0</v>
      </c>
      <c r="T39" s="671">
        <v>0</v>
      </c>
      <c r="U39" s="671">
        <v>0</v>
      </c>
      <c r="V39" s="671">
        <v>0</v>
      </c>
      <c r="W39" s="671">
        <v>0</v>
      </c>
      <c r="X39" s="671">
        <v>1100</v>
      </c>
      <c r="Y39" s="671" t="s">
        <v>52</v>
      </c>
      <c r="Z39" s="673" t="s">
        <v>156</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2582.1999999999998</v>
      </c>
      <c r="N57" s="629">
        <f>SUM(N27:N56)</f>
        <v>10845.708333333334</v>
      </c>
      <c r="O57" s="629">
        <f t="shared" ref="O57:W57" si="2">SUM(O27:O56)</f>
        <v>15493.871782496784</v>
      </c>
      <c r="P57" s="629">
        <f t="shared" si="2"/>
        <v>30987.628700128706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806</v>
      </c>
      <c r="N58" s="629">
        <f t="shared" ref="N58:W58" si="3">SUMIF($Z$27:$Z$56,"industrie",N27:N56)</f>
        <v>3627</v>
      </c>
      <c r="O58" s="629">
        <f t="shared" si="3"/>
        <v>5181.4285714285716</v>
      </c>
      <c r="P58" s="629">
        <f t="shared" si="3"/>
        <v>10362.857142857143</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1776.2</v>
      </c>
      <c r="N59" s="629">
        <f ca="1">SUMIF($Z$27:AB56,"tertiair",N27:N56)</f>
        <v>7218.708333333333</v>
      </c>
      <c r="O59" s="629">
        <f ca="1">SUMIF($Z$27:AC56,"tertiair",O27:O56)</f>
        <v>10312.443211068212</v>
      </c>
      <c r="P59" s="629">
        <f ca="1">SUMIF($Z$27:AD56,"tertiair",P27:P56)</f>
        <v>20624.771557271561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11002</v>
      </c>
      <c r="C63" s="851">
        <v>2020</v>
      </c>
      <c r="D63" s="674" t="s">
        <v>887</v>
      </c>
      <c r="E63" s="674" t="s">
        <v>888</v>
      </c>
      <c r="F63" s="674" t="s">
        <v>889</v>
      </c>
      <c r="G63" s="674" t="s">
        <v>890</v>
      </c>
      <c r="H63" s="674" t="s">
        <v>891</v>
      </c>
      <c r="I63" s="674" t="s">
        <v>892</v>
      </c>
      <c r="J63" s="850">
        <v>38169</v>
      </c>
      <c r="K63" s="850">
        <v>38261</v>
      </c>
      <c r="L63" s="674" t="s">
        <v>869</v>
      </c>
      <c r="M63" s="674">
        <v>300</v>
      </c>
      <c r="N63" s="674">
        <v>1350</v>
      </c>
      <c r="O63" s="674">
        <v>0</v>
      </c>
      <c r="P63" s="674">
        <v>0</v>
      </c>
      <c r="Q63" s="674">
        <v>3857.1428571428573</v>
      </c>
      <c r="R63" s="674">
        <v>0</v>
      </c>
      <c r="S63" s="674">
        <v>0</v>
      </c>
      <c r="T63" s="674">
        <v>0</v>
      </c>
      <c r="U63" s="674">
        <v>0</v>
      </c>
      <c r="V63" s="674">
        <v>0</v>
      </c>
      <c r="W63" s="674">
        <v>0</v>
      </c>
      <c r="X63" s="674">
        <v>1600</v>
      </c>
      <c r="Y63" s="674" t="s">
        <v>50</v>
      </c>
      <c r="Z63" s="675" t="s">
        <v>156</v>
      </c>
    </row>
    <row r="64" spans="1:26" s="640" customFormat="1" ht="63.75">
      <c r="A64" s="626"/>
      <c r="B64" s="851">
        <v>11002</v>
      </c>
      <c r="C64" s="851">
        <v>2030</v>
      </c>
      <c r="D64" s="674" t="s">
        <v>893</v>
      </c>
      <c r="E64" s="674" t="s">
        <v>894</v>
      </c>
      <c r="F64" s="674" t="s">
        <v>895</v>
      </c>
      <c r="G64" s="674" t="s">
        <v>896</v>
      </c>
      <c r="H64" s="674" t="s">
        <v>891</v>
      </c>
      <c r="I64" s="674" t="s">
        <v>897</v>
      </c>
      <c r="J64" s="850">
        <v>38183</v>
      </c>
      <c r="K64" s="850">
        <v>38200</v>
      </c>
      <c r="L64" s="674" t="s">
        <v>849</v>
      </c>
      <c r="M64" s="674">
        <v>4093</v>
      </c>
      <c r="N64" s="674">
        <v>18418.5</v>
      </c>
      <c r="O64" s="674">
        <v>0</v>
      </c>
      <c r="P64" s="674">
        <v>0</v>
      </c>
      <c r="Q64" s="674">
        <v>0</v>
      </c>
      <c r="R64" s="674">
        <v>52624.285714285717</v>
      </c>
      <c r="S64" s="674">
        <v>0</v>
      </c>
      <c r="T64" s="674">
        <v>0</v>
      </c>
      <c r="U64" s="674">
        <v>0</v>
      </c>
      <c r="V64" s="674">
        <v>0</v>
      </c>
      <c r="W64" s="674">
        <v>0</v>
      </c>
      <c r="X64" s="674">
        <v>1600</v>
      </c>
      <c r="Y64" s="674" t="s">
        <v>50</v>
      </c>
      <c r="Z64" s="675" t="s">
        <v>156</v>
      </c>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4393</v>
      </c>
      <c r="N88" s="629">
        <f t="shared" ref="N88:W88" si="5">SUM(N63:N87)</f>
        <v>19768.5</v>
      </c>
      <c r="O88" s="629">
        <f t="shared" si="5"/>
        <v>0</v>
      </c>
      <c r="P88" s="629">
        <f t="shared" si="5"/>
        <v>0</v>
      </c>
      <c r="Q88" s="629">
        <f t="shared" si="5"/>
        <v>3857.1428571428573</v>
      </c>
      <c r="R88" s="629">
        <f t="shared" si="5"/>
        <v>52624.285714285717</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4393</v>
      </c>
      <c r="N90" s="629">
        <f t="shared" ref="N90:W90" si="7">SUMIF($Z$63:$Z$88,"tertiair",N63:N88)</f>
        <v>19768.5</v>
      </c>
      <c r="O90" s="629">
        <f t="shared" si="7"/>
        <v>0</v>
      </c>
      <c r="P90" s="629">
        <f t="shared" si="7"/>
        <v>0</v>
      </c>
      <c r="Q90" s="629">
        <f t="shared" si="7"/>
        <v>3857.1428571428573</v>
      </c>
      <c r="R90" s="629">
        <f t="shared" si="7"/>
        <v>52624.285714285717</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0.58823533687178819</v>
      </c>
      <c r="C97" s="654">
        <f>IF(ISERROR(N57/(O57+N57)),0,N57/(N57+O57))</f>
        <v>0.41176466312821175</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12759.610492850603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18228.018207278103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1205122.9874260649</v>
      </c>
      <c r="D10" s="718">
        <f ca="1">tertiair!C16</f>
        <v>10312.443211068212</v>
      </c>
      <c r="E10" s="718">
        <f ca="1">tertiair!D16</f>
        <v>1560760.4803964139</v>
      </c>
      <c r="F10" s="718">
        <f>tertiair!E16</f>
        <v>11841.049569400922</v>
      </c>
      <c r="G10" s="718">
        <f ca="1">tertiair!F16</f>
        <v>192389.19768829647</v>
      </c>
      <c r="H10" s="718">
        <f>tertiair!G16</f>
        <v>0</v>
      </c>
      <c r="I10" s="718">
        <f>tertiair!H16</f>
        <v>0</v>
      </c>
      <c r="J10" s="718">
        <f>tertiair!I16</f>
        <v>0</v>
      </c>
      <c r="K10" s="718">
        <f>tertiair!J16</f>
        <v>1.902406545728434</v>
      </c>
      <c r="L10" s="718">
        <f>tertiair!K16</f>
        <v>0</v>
      </c>
      <c r="M10" s="718">
        <f ca="1">tertiair!L16</f>
        <v>0</v>
      </c>
      <c r="N10" s="718">
        <f>tertiair!M16</f>
        <v>0</v>
      </c>
      <c r="O10" s="718">
        <f ca="1">tertiair!N16</f>
        <v>20040.298239239368</v>
      </c>
      <c r="P10" s="718">
        <f>tertiair!O16</f>
        <v>26.576666666666668</v>
      </c>
      <c r="Q10" s="719">
        <f>tertiair!P16</f>
        <v>896.13333333333333</v>
      </c>
      <c r="R10" s="721">
        <f ca="1">SUM(C10:Q10)</f>
        <v>3001391.0689370297</v>
      </c>
      <c r="S10" s="67"/>
    </row>
    <row r="11" spans="1:19" s="474" customFormat="1">
      <c r="A11" s="870" t="s">
        <v>225</v>
      </c>
      <c r="B11" s="875"/>
      <c r="C11" s="718">
        <f>huishoudens!B8</f>
        <v>642855.5555869157</v>
      </c>
      <c r="D11" s="718">
        <f>huishoudens!C8</f>
        <v>0</v>
      </c>
      <c r="E11" s="718">
        <f>huishoudens!D8</f>
        <v>2115669.2459525806</v>
      </c>
      <c r="F11" s="718">
        <f>huishoudens!E8</f>
        <v>39362.547167595112</v>
      </c>
      <c r="G11" s="718">
        <f>huishoudens!F8</f>
        <v>122894.28551583491</v>
      </c>
      <c r="H11" s="718">
        <f>huishoudens!G8</f>
        <v>0</v>
      </c>
      <c r="I11" s="718">
        <f>huishoudens!H8</f>
        <v>0</v>
      </c>
      <c r="J11" s="718">
        <f>huishoudens!I8</f>
        <v>0</v>
      </c>
      <c r="K11" s="718">
        <f>huishoudens!J8</f>
        <v>0</v>
      </c>
      <c r="L11" s="718">
        <f>huishoudens!K8</f>
        <v>0</v>
      </c>
      <c r="M11" s="718">
        <f>huishoudens!L8</f>
        <v>0</v>
      </c>
      <c r="N11" s="718">
        <f>huishoudens!M8</f>
        <v>0</v>
      </c>
      <c r="O11" s="718">
        <f>huishoudens!N8</f>
        <v>128556.0312256217</v>
      </c>
      <c r="P11" s="718">
        <f>huishoudens!O8</f>
        <v>1683.7100000000003</v>
      </c>
      <c r="Q11" s="719">
        <f>huishoudens!P8</f>
        <v>2535.8666666666668</v>
      </c>
      <c r="R11" s="721">
        <f>SUM(C11:Q11)</f>
        <v>3053557.2421152149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333771.59847649676</v>
      </c>
      <c r="D13" s="718">
        <f>industrie!C18</f>
        <v>5181.4285714285716</v>
      </c>
      <c r="E13" s="718">
        <f>industrie!D18</f>
        <v>323150.72022116388</v>
      </c>
      <c r="F13" s="718">
        <f>industrie!E18</f>
        <v>18824.336741118161</v>
      </c>
      <c r="G13" s="718">
        <f>industrie!F18</f>
        <v>70120.497043651863</v>
      </c>
      <c r="H13" s="718">
        <f>industrie!G18</f>
        <v>0</v>
      </c>
      <c r="I13" s="718">
        <f>industrie!H18</f>
        <v>0</v>
      </c>
      <c r="J13" s="718">
        <f>industrie!I18</f>
        <v>0</v>
      </c>
      <c r="K13" s="718">
        <f>industrie!J18</f>
        <v>1954.9367406292463</v>
      </c>
      <c r="L13" s="718">
        <f>industrie!K18</f>
        <v>0</v>
      </c>
      <c r="M13" s="718">
        <f>industrie!L18</f>
        <v>0</v>
      </c>
      <c r="N13" s="718">
        <f>industrie!M18</f>
        <v>0</v>
      </c>
      <c r="O13" s="718">
        <f>industrie!N18</f>
        <v>51685.981921535451</v>
      </c>
      <c r="P13" s="718">
        <f>industrie!O18</f>
        <v>0</v>
      </c>
      <c r="Q13" s="719">
        <f>industrie!P18</f>
        <v>0</v>
      </c>
      <c r="R13" s="721">
        <f>SUM(C13:Q13)</f>
        <v>804689.49971602391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2181750.1414894774</v>
      </c>
      <c r="D15" s="723">
        <f t="shared" ref="D15:Q15" ca="1" si="0">SUM(D9:D14)</f>
        <v>15493.871782496783</v>
      </c>
      <c r="E15" s="723">
        <f t="shared" ca="1" si="0"/>
        <v>3999580.446570158</v>
      </c>
      <c r="F15" s="723">
        <f t="shared" si="0"/>
        <v>70027.933478114195</v>
      </c>
      <c r="G15" s="723">
        <f t="shared" ca="1" si="0"/>
        <v>385403.98024778324</v>
      </c>
      <c r="H15" s="723">
        <f t="shared" si="0"/>
        <v>0</v>
      </c>
      <c r="I15" s="723">
        <f t="shared" si="0"/>
        <v>0</v>
      </c>
      <c r="J15" s="723">
        <f t="shared" si="0"/>
        <v>0</v>
      </c>
      <c r="K15" s="723">
        <f t="shared" si="0"/>
        <v>1956.8391471749746</v>
      </c>
      <c r="L15" s="723">
        <f t="shared" si="0"/>
        <v>0</v>
      </c>
      <c r="M15" s="723">
        <f t="shared" ca="1" si="0"/>
        <v>0</v>
      </c>
      <c r="N15" s="723">
        <f t="shared" si="0"/>
        <v>0</v>
      </c>
      <c r="O15" s="723">
        <f t="shared" ca="1" si="0"/>
        <v>200282.31138639653</v>
      </c>
      <c r="P15" s="723">
        <f t="shared" si="0"/>
        <v>1710.2866666666669</v>
      </c>
      <c r="Q15" s="724">
        <f t="shared" si="0"/>
        <v>3432</v>
      </c>
      <c r="R15" s="725">
        <f ca="1">SUM(R9:R14)</f>
        <v>6859637.8107682681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34187.039248763256</v>
      </c>
      <c r="D18" s="718">
        <f>transport!C54</f>
        <v>0</v>
      </c>
      <c r="E18" s="718">
        <f>transport!D54</f>
        <v>0</v>
      </c>
      <c r="F18" s="718">
        <f>transport!E54</f>
        <v>0</v>
      </c>
      <c r="G18" s="718">
        <f>transport!F54</f>
        <v>0</v>
      </c>
      <c r="H18" s="718">
        <f>transport!G54</f>
        <v>46659.865816166901</v>
      </c>
      <c r="I18" s="718">
        <f>transport!H54</f>
        <v>0</v>
      </c>
      <c r="J18" s="718">
        <f>transport!I54</f>
        <v>0</v>
      </c>
      <c r="K18" s="718">
        <f>transport!J54</f>
        <v>0</v>
      </c>
      <c r="L18" s="718">
        <f>transport!K54</f>
        <v>0</v>
      </c>
      <c r="M18" s="718">
        <f>transport!L54</f>
        <v>0</v>
      </c>
      <c r="N18" s="718">
        <f>transport!M54</f>
        <v>2650.0743948165405</v>
      </c>
      <c r="O18" s="718">
        <f>transport!N54</f>
        <v>0</v>
      </c>
      <c r="P18" s="718">
        <f>transport!O54</f>
        <v>0</v>
      </c>
      <c r="Q18" s="719">
        <f>transport!P54</f>
        <v>0</v>
      </c>
      <c r="R18" s="721">
        <f>SUM(C18:Q18)</f>
        <v>83496.979459746697</v>
      </c>
      <c r="S18" s="67"/>
    </row>
    <row r="19" spans="1:19" s="474" customFormat="1" ht="15" thickBot="1">
      <c r="A19" s="870" t="s">
        <v>307</v>
      </c>
      <c r="B19" s="875"/>
      <c r="C19" s="727">
        <f>transport!B14</f>
        <v>1155.1160220000522</v>
      </c>
      <c r="D19" s="727">
        <f>transport!C14</f>
        <v>0</v>
      </c>
      <c r="E19" s="727">
        <f>transport!D14</f>
        <v>3911.1165694025385</v>
      </c>
      <c r="F19" s="727">
        <f>transport!E14</f>
        <v>5960.4056085709917</v>
      </c>
      <c r="G19" s="727">
        <f>transport!F14</f>
        <v>0</v>
      </c>
      <c r="H19" s="727">
        <f>transport!G14</f>
        <v>2399951.4775485536</v>
      </c>
      <c r="I19" s="727">
        <f>transport!H14</f>
        <v>452368.83880866255</v>
      </c>
      <c r="J19" s="727">
        <f>transport!I14</f>
        <v>0</v>
      </c>
      <c r="K19" s="727">
        <f>transport!J14</f>
        <v>0</v>
      </c>
      <c r="L19" s="727">
        <f>transport!K14</f>
        <v>0</v>
      </c>
      <c r="M19" s="727">
        <f>transport!L14</f>
        <v>0</v>
      </c>
      <c r="N19" s="727">
        <f>transport!M14</f>
        <v>153645.36821189497</v>
      </c>
      <c r="O19" s="727">
        <f>transport!N14</f>
        <v>0</v>
      </c>
      <c r="P19" s="727">
        <f>transport!O14</f>
        <v>0</v>
      </c>
      <c r="Q19" s="728">
        <f>transport!P14</f>
        <v>0</v>
      </c>
      <c r="R19" s="729">
        <f>SUM(C19:Q19)</f>
        <v>3016992.3227690845</v>
      </c>
      <c r="S19" s="67"/>
    </row>
    <row r="20" spans="1:19" s="474" customFormat="1" ht="15.75" thickBot="1">
      <c r="A20" s="730" t="s">
        <v>230</v>
      </c>
      <c r="B20" s="878"/>
      <c r="C20" s="873">
        <f>SUM(C17:C19)</f>
        <v>35342.155270763309</v>
      </c>
      <c r="D20" s="731">
        <f t="shared" ref="D20:R20" si="1">SUM(D17:D19)</f>
        <v>0</v>
      </c>
      <c r="E20" s="731">
        <f t="shared" si="1"/>
        <v>3911.1165694025385</v>
      </c>
      <c r="F20" s="731">
        <f t="shared" si="1"/>
        <v>5960.4056085709917</v>
      </c>
      <c r="G20" s="731">
        <f t="shared" si="1"/>
        <v>0</v>
      </c>
      <c r="H20" s="731">
        <f t="shared" si="1"/>
        <v>2446611.3433647207</v>
      </c>
      <c r="I20" s="731">
        <f t="shared" si="1"/>
        <v>452368.83880866255</v>
      </c>
      <c r="J20" s="731">
        <f t="shared" si="1"/>
        <v>0</v>
      </c>
      <c r="K20" s="731">
        <f t="shared" si="1"/>
        <v>0</v>
      </c>
      <c r="L20" s="731">
        <f t="shared" si="1"/>
        <v>0</v>
      </c>
      <c r="M20" s="731">
        <f t="shared" si="1"/>
        <v>0</v>
      </c>
      <c r="N20" s="731">
        <f t="shared" si="1"/>
        <v>156295.4426067115</v>
      </c>
      <c r="O20" s="731">
        <f t="shared" si="1"/>
        <v>0</v>
      </c>
      <c r="P20" s="731">
        <f t="shared" si="1"/>
        <v>0</v>
      </c>
      <c r="Q20" s="732">
        <f t="shared" si="1"/>
        <v>0</v>
      </c>
      <c r="R20" s="733">
        <f t="shared" si="1"/>
        <v>3100489.3022288312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24004.657885459663</v>
      </c>
      <c r="D22" s="727">
        <f>+landbouw!C8</f>
        <v>0</v>
      </c>
      <c r="E22" s="727">
        <f>+landbouw!D8</f>
        <v>179704.19272770974</v>
      </c>
      <c r="F22" s="727">
        <f>+landbouw!E8</f>
        <v>705.57021394139463</v>
      </c>
      <c r="G22" s="727">
        <f>+landbouw!F8</f>
        <v>100002.10760719687</v>
      </c>
      <c r="H22" s="727">
        <f>+landbouw!G8</f>
        <v>0</v>
      </c>
      <c r="I22" s="727">
        <f>+landbouw!H8</f>
        <v>0</v>
      </c>
      <c r="J22" s="727">
        <f>+landbouw!I8</f>
        <v>0</v>
      </c>
      <c r="K22" s="727">
        <f>+landbouw!J8</f>
        <v>3477.7594216740767</v>
      </c>
      <c r="L22" s="727">
        <f>+landbouw!K8</f>
        <v>0</v>
      </c>
      <c r="M22" s="727">
        <f>+landbouw!L8</f>
        <v>0</v>
      </c>
      <c r="N22" s="727">
        <f>+landbouw!M8</f>
        <v>0</v>
      </c>
      <c r="O22" s="727">
        <f>+landbouw!N8</f>
        <v>0</v>
      </c>
      <c r="P22" s="727">
        <f>+landbouw!O8</f>
        <v>0</v>
      </c>
      <c r="Q22" s="728">
        <f>+landbouw!P8</f>
        <v>0</v>
      </c>
      <c r="R22" s="729">
        <f>SUM(C22:Q22)</f>
        <v>307894.28785598173</v>
      </c>
      <c r="S22" s="67"/>
    </row>
    <row r="23" spans="1:19" s="474" customFormat="1" ht="17.25" thickTop="1" thickBot="1">
      <c r="A23" s="734" t="s">
        <v>116</v>
      </c>
      <c r="B23" s="864"/>
      <c r="C23" s="735">
        <f ca="1">C20+C15+C22</f>
        <v>2241096.9546457003</v>
      </c>
      <c r="D23" s="735">
        <f t="shared" ref="D23:Q23" ca="1" si="2">D20+D15+D22</f>
        <v>15493.871782496783</v>
      </c>
      <c r="E23" s="735">
        <f t="shared" ca="1" si="2"/>
        <v>4183195.7558672703</v>
      </c>
      <c r="F23" s="735">
        <f t="shared" si="2"/>
        <v>76693.909300626576</v>
      </c>
      <c r="G23" s="735">
        <f t="shared" ca="1" si="2"/>
        <v>485406.08785498014</v>
      </c>
      <c r="H23" s="735">
        <f t="shared" si="2"/>
        <v>2446611.3433647207</v>
      </c>
      <c r="I23" s="735">
        <f t="shared" si="2"/>
        <v>452368.83880866255</v>
      </c>
      <c r="J23" s="735">
        <f t="shared" si="2"/>
        <v>0</v>
      </c>
      <c r="K23" s="735">
        <f t="shared" si="2"/>
        <v>5434.5985688490509</v>
      </c>
      <c r="L23" s="735">
        <f t="shared" si="2"/>
        <v>0</v>
      </c>
      <c r="M23" s="735">
        <f t="shared" ca="1" si="2"/>
        <v>0</v>
      </c>
      <c r="N23" s="735">
        <f t="shared" si="2"/>
        <v>156295.4426067115</v>
      </c>
      <c r="O23" s="735">
        <f t="shared" ca="1" si="2"/>
        <v>200282.31138639653</v>
      </c>
      <c r="P23" s="735">
        <f t="shared" si="2"/>
        <v>1710.2866666666669</v>
      </c>
      <c r="Q23" s="736">
        <f t="shared" si="2"/>
        <v>3432</v>
      </c>
      <c r="R23" s="737">
        <f ca="1">R20+R15+R22</f>
        <v>10268021.400853081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249303.04878687466</v>
      </c>
      <c r="D36" s="718">
        <f ca="1">tertiair!C20</f>
        <v>2450.7128922220509</v>
      </c>
      <c r="E36" s="718">
        <f ca="1">tertiair!D20</f>
        <v>315273.61704007565</v>
      </c>
      <c r="F36" s="718">
        <f>tertiair!E20</f>
        <v>2687.9182522540095</v>
      </c>
      <c r="G36" s="718">
        <f ca="1">tertiair!F20</f>
        <v>51367.915782775162</v>
      </c>
      <c r="H36" s="718">
        <f>tertiair!G20</f>
        <v>0</v>
      </c>
      <c r="I36" s="718">
        <f>tertiair!H20</f>
        <v>0</v>
      </c>
      <c r="J36" s="718">
        <f>tertiair!I20</f>
        <v>0</v>
      </c>
      <c r="K36" s="718">
        <f>tertiair!J20</f>
        <v>0.67345191718786557</v>
      </c>
      <c r="L36" s="718">
        <f>tertiair!K20</f>
        <v>0</v>
      </c>
      <c r="M36" s="718">
        <f ca="1">tertiair!L20</f>
        <v>0</v>
      </c>
      <c r="N36" s="718">
        <f>tertiair!M20</f>
        <v>0</v>
      </c>
      <c r="O36" s="718">
        <f ca="1">tertiair!N20</f>
        <v>0</v>
      </c>
      <c r="P36" s="718">
        <f>tertiair!O20</f>
        <v>0</v>
      </c>
      <c r="Q36" s="828">
        <f>tertiair!P20</f>
        <v>0</v>
      </c>
      <c r="R36" s="917">
        <f ca="1">SUM(C36:Q36)</f>
        <v>621083.88620611874</v>
      </c>
    </row>
    <row r="37" spans="1:18">
      <c r="A37" s="885" t="s">
        <v>225</v>
      </c>
      <c r="B37" s="892"/>
      <c r="C37" s="718">
        <f ca="1">huishoudens!B12</f>
        <v>132987.1321098094</v>
      </c>
      <c r="D37" s="718">
        <f ca="1">huishoudens!C12</f>
        <v>0</v>
      </c>
      <c r="E37" s="718">
        <f>huishoudens!D12</f>
        <v>427365.1876824213</v>
      </c>
      <c r="F37" s="718">
        <f>huishoudens!E12</f>
        <v>8935.2982070440903</v>
      </c>
      <c r="G37" s="718">
        <f>huishoudens!F12</f>
        <v>32812.774232727927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602100.39223200281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69047.12462284205</v>
      </c>
      <c r="D39" s="718">
        <f ca="1">industrie!C22</f>
        <v>1231.3467856481261</v>
      </c>
      <c r="E39" s="718">
        <f>industrie!D22</f>
        <v>65276.44548467511</v>
      </c>
      <c r="F39" s="718">
        <f>industrie!E22</f>
        <v>4273.1244402338225</v>
      </c>
      <c r="G39" s="718">
        <f>industrie!F22</f>
        <v>18722.17271065505</v>
      </c>
      <c r="H39" s="718">
        <f>industrie!G22</f>
        <v>0</v>
      </c>
      <c r="I39" s="718">
        <f>industrie!H22</f>
        <v>0</v>
      </c>
      <c r="J39" s="718">
        <f>industrie!I22</f>
        <v>0</v>
      </c>
      <c r="K39" s="718">
        <f>industrie!J22</f>
        <v>692.04760618275316</v>
      </c>
      <c r="L39" s="718">
        <f>industrie!K22</f>
        <v>0</v>
      </c>
      <c r="M39" s="718">
        <f>industrie!L22</f>
        <v>0</v>
      </c>
      <c r="N39" s="718">
        <f>industrie!M22</f>
        <v>0</v>
      </c>
      <c r="O39" s="718">
        <f>industrie!N22</f>
        <v>0</v>
      </c>
      <c r="P39" s="718">
        <f>industrie!O22</f>
        <v>0</v>
      </c>
      <c r="Q39" s="828">
        <f>industrie!P22</f>
        <v>0</v>
      </c>
      <c r="R39" s="918">
        <f ca="1">SUM(C39:Q39)</f>
        <v>159242.26165023693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451337.30551952613</v>
      </c>
      <c r="D41" s="763">
        <f t="shared" ref="D41:R41" ca="1" si="4">SUM(D35:D40)</f>
        <v>3682.059677870177</v>
      </c>
      <c r="E41" s="763">
        <f t="shared" ca="1" si="4"/>
        <v>807915.25020717212</v>
      </c>
      <c r="F41" s="763">
        <f t="shared" si="4"/>
        <v>15896.340899531922</v>
      </c>
      <c r="G41" s="763">
        <f t="shared" ca="1" si="4"/>
        <v>102902.86272615814</v>
      </c>
      <c r="H41" s="763">
        <f t="shared" si="4"/>
        <v>0</v>
      </c>
      <c r="I41" s="763">
        <f t="shared" si="4"/>
        <v>0</v>
      </c>
      <c r="J41" s="763">
        <f t="shared" si="4"/>
        <v>0</v>
      </c>
      <c r="K41" s="763">
        <f t="shared" si="4"/>
        <v>692.72105809994105</v>
      </c>
      <c r="L41" s="763">
        <f t="shared" si="4"/>
        <v>0</v>
      </c>
      <c r="M41" s="763">
        <f t="shared" ca="1" si="4"/>
        <v>0</v>
      </c>
      <c r="N41" s="763">
        <f t="shared" si="4"/>
        <v>0</v>
      </c>
      <c r="O41" s="763">
        <f t="shared" ca="1" si="4"/>
        <v>0</v>
      </c>
      <c r="P41" s="763">
        <f t="shared" si="4"/>
        <v>0</v>
      </c>
      <c r="Q41" s="764">
        <f t="shared" si="4"/>
        <v>0</v>
      </c>
      <c r="R41" s="765">
        <f t="shared" ca="1" si="4"/>
        <v>1382426.5400883586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7072.2517142559391</v>
      </c>
      <c r="D44" s="718">
        <f ca="1">transport!C58</f>
        <v>0</v>
      </c>
      <c r="E44" s="718">
        <f>transport!D58</f>
        <v>0</v>
      </c>
      <c r="F44" s="718">
        <f>transport!E58</f>
        <v>0</v>
      </c>
      <c r="G44" s="718">
        <f>transport!F58</f>
        <v>0</v>
      </c>
      <c r="H44" s="718">
        <f>transport!G58</f>
        <v>12458.184172916563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19530.435887172502</v>
      </c>
    </row>
    <row r="45" spans="1:18" ht="15" thickBot="1">
      <c r="A45" s="888" t="s">
        <v>307</v>
      </c>
      <c r="B45" s="898"/>
      <c r="C45" s="727">
        <f ca="1">transport!B18</f>
        <v>238.95813870602731</v>
      </c>
      <c r="D45" s="727">
        <f>transport!C18</f>
        <v>0</v>
      </c>
      <c r="E45" s="727">
        <f>transport!D18</f>
        <v>790.04554701931283</v>
      </c>
      <c r="F45" s="727">
        <f>transport!E18</f>
        <v>1353.0120731456152</v>
      </c>
      <c r="G45" s="727">
        <f>transport!F18</f>
        <v>0</v>
      </c>
      <c r="H45" s="727">
        <f>transport!G18</f>
        <v>640787.0445054638</v>
      </c>
      <c r="I45" s="727">
        <f>transport!H18</f>
        <v>112639.84086335698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755808.90112769173</v>
      </c>
    </row>
    <row r="46" spans="1:18" ht="15.75" thickBot="1">
      <c r="A46" s="886" t="s">
        <v>230</v>
      </c>
      <c r="B46" s="899"/>
      <c r="C46" s="763">
        <f t="shared" ref="C46:R46" ca="1" si="5">SUM(C43:C45)</f>
        <v>7311.2098529619661</v>
      </c>
      <c r="D46" s="763">
        <f t="shared" ca="1" si="5"/>
        <v>0</v>
      </c>
      <c r="E46" s="763">
        <f t="shared" si="5"/>
        <v>790.04554701931283</v>
      </c>
      <c r="F46" s="763">
        <f t="shared" si="5"/>
        <v>1353.0120731456152</v>
      </c>
      <c r="G46" s="763">
        <f t="shared" si="5"/>
        <v>0</v>
      </c>
      <c r="H46" s="763">
        <f t="shared" si="5"/>
        <v>653245.22867838037</v>
      </c>
      <c r="I46" s="763">
        <f t="shared" si="5"/>
        <v>112639.84086335698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775339.3370148642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4965.8287646746394</v>
      </c>
      <c r="D48" s="718">
        <f ca="1">+landbouw!C12</f>
        <v>0</v>
      </c>
      <c r="E48" s="718">
        <f>+landbouw!D12</f>
        <v>36300.246930997368</v>
      </c>
      <c r="F48" s="718">
        <f>+landbouw!E12</f>
        <v>160.16443856469658</v>
      </c>
      <c r="G48" s="718">
        <f>+landbouw!F12</f>
        <v>26700.562731121565</v>
      </c>
      <c r="H48" s="718">
        <f>+landbouw!G12</f>
        <v>0</v>
      </c>
      <c r="I48" s="718">
        <f>+landbouw!H12</f>
        <v>0</v>
      </c>
      <c r="J48" s="718">
        <f>+landbouw!I12</f>
        <v>0</v>
      </c>
      <c r="K48" s="718">
        <f>+landbouw!J12</f>
        <v>1231.1268352726231</v>
      </c>
      <c r="L48" s="718">
        <f>+landbouw!K12</f>
        <v>0</v>
      </c>
      <c r="M48" s="718">
        <f>+landbouw!L12</f>
        <v>0</v>
      </c>
      <c r="N48" s="718">
        <f>+landbouw!M12</f>
        <v>0</v>
      </c>
      <c r="O48" s="718">
        <f>+landbouw!N12</f>
        <v>0</v>
      </c>
      <c r="P48" s="718">
        <f>+landbouw!O12</f>
        <v>0</v>
      </c>
      <c r="Q48" s="719">
        <f>+landbouw!P12</f>
        <v>0</v>
      </c>
      <c r="R48" s="761">
        <f ca="1">SUM(C48:Q48)</f>
        <v>69357.929700630892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463614.34413716273</v>
      </c>
      <c r="D53" s="773">
        <f t="shared" ref="D53:Q53" ca="1" si="6">D41+D46+D48</f>
        <v>3682.059677870177</v>
      </c>
      <c r="E53" s="773">
        <f t="shared" ca="1" si="6"/>
        <v>845005.54268518882</v>
      </c>
      <c r="F53" s="773">
        <f t="shared" si="6"/>
        <v>17409.517411242236</v>
      </c>
      <c r="G53" s="773">
        <f t="shared" ca="1" si="6"/>
        <v>129603.42545727971</v>
      </c>
      <c r="H53" s="773">
        <f t="shared" si="6"/>
        <v>653245.22867838037</v>
      </c>
      <c r="I53" s="773">
        <f t="shared" si="6"/>
        <v>112639.84086335698</v>
      </c>
      <c r="J53" s="773">
        <f t="shared" si="6"/>
        <v>0</v>
      </c>
      <c r="K53" s="773">
        <f t="shared" si="6"/>
        <v>1923.8478933725642</v>
      </c>
      <c r="L53" s="773">
        <f t="shared" si="6"/>
        <v>0</v>
      </c>
      <c r="M53" s="773">
        <f t="shared" ca="1" si="6"/>
        <v>0</v>
      </c>
      <c r="N53" s="773">
        <f t="shared" si="6"/>
        <v>0</v>
      </c>
      <c r="O53" s="773">
        <f t="shared" ca="1" si="6"/>
        <v>0</v>
      </c>
      <c r="P53" s="773">
        <f>P41+P46+P48</f>
        <v>0</v>
      </c>
      <c r="Q53" s="774">
        <f t="shared" si="6"/>
        <v>0</v>
      </c>
      <c r="R53" s="775">
        <f ca="1">R41+R46+R48</f>
        <v>2227123.8068038533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0.20686938294932292</v>
      </c>
      <c r="D55" s="836">
        <f t="shared" ca="1" si="7"/>
        <v>0.23764619518987823</v>
      </c>
      <c r="E55" s="836">
        <f t="shared" ca="1" si="7"/>
        <v>0.20200000000000004</v>
      </c>
      <c r="F55" s="836">
        <f t="shared" si="7"/>
        <v>0.22700000000000004</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64502.140318971513</v>
      </c>
      <c r="C64" s="795">
        <f>'lokale energieproductie'!B4</f>
        <v>64502.140318971513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59840.774239518083</v>
      </c>
      <c r="C66" s="795">
        <f>'lokale energieproductie'!B6</f>
        <v>59840.774239518083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10845.708333333334</v>
      </c>
      <c r="C67" s="794">
        <f>B67*IFERROR(SUM(J67:L67)/SUM(D67:M67),0)</f>
        <v>0</v>
      </c>
      <c r="D67" s="826">
        <f>'lokale energieproductie'!C7</f>
        <v>12759.610492850603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2577.4413195558218</v>
      </c>
      <c r="P67" s="922">
        <v>0</v>
      </c>
      <c r="Q67" s="785"/>
      <c r="R67" s="742"/>
    </row>
    <row r="68" spans="1:18" ht="30.75" thickBot="1">
      <c r="A68" s="801" t="s">
        <v>353</v>
      </c>
      <c r="B68" s="794">
        <f>'lokale energieproductie'!B8</f>
        <v>19768.5</v>
      </c>
      <c r="C68" s="794">
        <f>B68*IFERROR(SUM(J68:L68)/SUM(D68:M68),0)</f>
        <v>19768.5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56481.428571428572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154957.12289182295</v>
      </c>
      <c r="C69" s="803">
        <f>SUM(C64:C68)</f>
        <v>144111.4145584896</v>
      </c>
      <c r="D69" s="804">
        <f t="shared" ref="D69:M69" si="8">SUM(D67:D68)</f>
        <v>12759.610492850603</v>
      </c>
      <c r="E69" s="804">
        <f t="shared" si="8"/>
        <v>0</v>
      </c>
      <c r="F69" s="804">
        <f t="shared" si="8"/>
        <v>0</v>
      </c>
      <c r="G69" s="804">
        <f t="shared" si="8"/>
        <v>0</v>
      </c>
      <c r="H69" s="804">
        <f t="shared" si="8"/>
        <v>0</v>
      </c>
      <c r="I69" s="804">
        <f t="shared" si="8"/>
        <v>0</v>
      </c>
      <c r="J69" s="804">
        <f t="shared" si="8"/>
        <v>0</v>
      </c>
      <c r="K69" s="804">
        <f t="shared" si="8"/>
        <v>56481.428571428572</v>
      </c>
      <c r="L69" s="804">
        <f t="shared" si="8"/>
        <v>0</v>
      </c>
      <c r="M69" s="930">
        <f t="shared" si="8"/>
        <v>0</v>
      </c>
      <c r="N69" s="805">
        <v>0</v>
      </c>
      <c r="O69" s="805">
        <f>SUM(O67:O68)</f>
        <v>2577.4413195558218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15493.871782496784</v>
      </c>
      <c r="C78" s="817">
        <f>B78*IFERROR(SUM(I78:L78)/SUM(D78:M78),0)</f>
        <v>0</v>
      </c>
      <c r="D78" s="832">
        <f>'lokale energieproductie'!C16</f>
        <v>18228.018207278103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3682.059677870177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15493.871782496784</v>
      </c>
      <c r="C81" s="803">
        <f>SUM(C78:C80)</f>
        <v>0</v>
      </c>
      <c r="D81" s="803">
        <f t="shared" ref="D81:P81" si="9">SUM(D78:D80)</f>
        <v>18228.018207278103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3682.059677870177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642855.5555869157</v>
      </c>
      <c r="C4" s="478">
        <f>huishoudens!C8</f>
        <v>0</v>
      </c>
      <c r="D4" s="478">
        <f>huishoudens!D8</f>
        <v>2115669.2459525806</v>
      </c>
      <c r="E4" s="478">
        <f>huishoudens!E8</f>
        <v>39362.547167595112</v>
      </c>
      <c r="F4" s="478">
        <f>huishoudens!F8</f>
        <v>122894.28551583491</v>
      </c>
      <c r="G4" s="478">
        <f>huishoudens!G8</f>
        <v>0</v>
      </c>
      <c r="H4" s="478">
        <f>huishoudens!H8</f>
        <v>0</v>
      </c>
      <c r="I4" s="478">
        <f>huishoudens!I8</f>
        <v>0</v>
      </c>
      <c r="J4" s="478">
        <f>huishoudens!J8</f>
        <v>0</v>
      </c>
      <c r="K4" s="478">
        <f>huishoudens!K8</f>
        <v>0</v>
      </c>
      <c r="L4" s="478">
        <f>huishoudens!L8</f>
        <v>0</v>
      </c>
      <c r="M4" s="478">
        <f>huishoudens!M8</f>
        <v>0</v>
      </c>
      <c r="N4" s="478">
        <f>huishoudens!N8</f>
        <v>128556.0312256217</v>
      </c>
      <c r="O4" s="478">
        <f>huishoudens!O8</f>
        <v>1683.7100000000003</v>
      </c>
      <c r="P4" s="479">
        <f>huishoudens!P8</f>
        <v>2535.8666666666668</v>
      </c>
      <c r="Q4" s="480">
        <f>SUM(B4:P4)</f>
        <v>3053557.2421152149</v>
      </c>
    </row>
    <row r="5" spans="1:17">
      <c r="A5" s="477" t="s">
        <v>156</v>
      </c>
      <c r="B5" s="478">
        <f ca="1">tertiair!B16</f>
        <v>1176775.7894260648</v>
      </c>
      <c r="C5" s="478">
        <f ca="1">tertiair!C16</f>
        <v>10312.443211068212</v>
      </c>
      <c r="D5" s="478">
        <f ca="1">tertiair!D16</f>
        <v>1560760.4803964139</v>
      </c>
      <c r="E5" s="478">
        <f>tertiair!E16</f>
        <v>11841.049569400922</v>
      </c>
      <c r="F5" s="478">
        <f ca="1">tertiair!F16</f>
        <v>192389.19768829647</v>
      </c>
      <c r="G5" s="478">
        <f>tertiair!G16</f>
        <v>0</v>
      </c>
      <c r="H5" s="478">
        <f>tertiair!H16</f>
        <v>0</v>
      </c>
      <c r="I5" s="478">
        <f>tertiair!I16</f>
        <v>0</v>
      </c>
      <c r="J5" s="478">
        <f>tertiair!J16</f>
        <v>1.902406545728434</v>
      </c>
      <c r="K5" s="478">
        <f>tertiair!K16</f>
        <v>0</v>
      </c>
      <c r="L5" s="478">
        <f ca="1">tertiair!L16</f>
        <v>0</v>
      </c>
      <c r="M5" s="478">
        <f>tertiair!M16</f>
        <v>0</v>
      </c>
      <c r="N5" s="478">
        <f ca="1">tertiair!N16</f>
        <v>20040.298239239368</v>
      </c>
      <c r="O5" s="478">
        <f>tertiair!O16</f>
        <v>26.576666666666668</v>
      </c>
      <c r="P5" s="479">
        <f>tertiair!P16</f>
        <v>896.13333333333333</v>
      </c>
      <c r="Q5" s="477">
        <f t="shared" ref="Q5:Q13" ca="1" si="0">SUM(B5:P5)</f>
        <v>2973043.8709370294</v>
      </c>
    </row>
    <row r="6" spans="1:17">
      <c r="A6" s="477" t="s">
        <v>194</v>
      </c>
      <c r="B6" s="478">
        <f>'openbare verlichting'!B8</f>
        <v>28347.198</v>
      </c>
      <c r="C6" s="478"/>
      <c r="D6" s="478"/>
      <c r="E6" s="478"/>
      <c r="F6" s="478"/>
      <c r="G6" s="478"/>
      <c r="H6" s="478"/>
      <c r="I6" s="478"/>
      <c r="J6" s="478"/>
      <c r="K6" s="478"/>
      <c r="L6" s="478"/>
      <c r="M6" s="478"/>
      <c r="N6" s="478"/>
      <c r="O6" s="478"/>
      <c r="P6" s="479"/>
      <c r="Q6" s="477">
        <f t="shared" si="0"/>
        <v>28347.198</v>
      </c>
    </row>
    <row r="7" spans="1:17">
      <c r="A7" s="477" t="s">
        <v>112</v>
      </c>
      <c r="B7" s="478">
        <f>landbouw!B8</f>
        <v>24004.657885459663</v>
      </c>
      <c r="C7" s="478">
        <f>landbouw!C8</f>
        <v>0</v>
      </c>
      <c r="D7" s="478">
        <f>landbouw!D8</f>
        <v>179704.19272770974</v>
      </c>
      <c r="E7" s="478">
        <f>landbouw!E8</f>
        <v>705.57021394139463</v>
      </c>
      <c r="F7" s="478">
        <f>landbouw!F8</f>
        <v>100002.10760719687</v>
      </c>
      <c r="G7" s="478">
        <f>landbouw!G8</f>
        <v>0</v>
      </c>
      <c r="H7" s="478">
        <f>landbouw!H8</f>
        <v>0</v>
      </c>
      <c r="I7" s="478">
        <f>landbouw!I8</f>
        <v>0</v>
      </c>
      <c r="J7" s="478">
        <f>landbouw!J8</f>
        <v>3477.7594216740767</v>
      </c>
      <c r="K7" s="478">
        <f>landbouw!K8</f>
        <v>0</v>
      </c>
      <c r="L7" s="478">
        <f>landbouw!L8</f>
        <v>0</v>
      </c>
      <c r="M7" s="478">
        <f>landbouw!M8</f>
        <v>0</v>
      </c>
      <c r="N7" s="478">
        <f>landbouw!N8</f>
        <v>0</v>
      </c>
      <c r="O7" s="478">
        <f>landbouw!O8</f>
        <v>0</v>
      </c>
      <c r="P7" s="479">
        <f>landbouw!P8</f>
        <v>0</v>
      </c>
      <c r="Q7" s="477">
        <f t="shared" si="0"/>
        <v>307894.28785598173</v>
      </c>
    </row>
    <row r="8" spans="1:17">
      <c r="A8" s="477" t="s">
        <v>635</v>
      </c>
      <c r="B8" s="478">
        <f>industrie!B18</f>
        <v>333771.59847649676</v>
      </c>
      <c r="C8" s="478">
        <f>industrie!C18</f>
        <v>5181.4285714285716</v>
      </c>
      <c r="D8" s="478">
        <f>industrie!D18</f>
        <v>323150.72022116388</v>
      </c>
      <c r="E8" s="478">
        <f>industrie!E18</f>
        <v>18824.336741118161</v>
      </c>
      <c r="F8" s="478">
        <f>industrie!F18</f>
        <v>70120.497043651863</v>
      </c>
      <c r="G8" s="478">
        <f>industrie!G18</f>
        <v>0</v>
      </c>
      <c r="H8" s="478">
        <f>industrie!H18</f>
        <v>0</v>
      </c>
      <c r="I8" s="478">
        <f>industrie!I18</f>
        <v>0</v>
      </c>
      <c r="J8" s="478">
        <f>industrie!J18</f>
        <v>1954.9367406292463</v>
      </c>
      <c r="K8" s="478">
        <f>industrie!K18</f>
        <v>0</v>
      </c>
      <c r="L8" s="478">
        <f>industrie!L18</f>
        <v>0</v>
      </c>
      <c r="M8" s="478">
        <f>industrie!M18</f>
        <v>0</v>
      </c>
      <c r="N8" s="478">
        <f>industrie!N18</f>
        <v>51685.981921535451</v>
      </c>
      <c r="O8" s="478">
        <f>industrie!O18</f>
        <v>0</v>
      </c>
      <c r="P8" s="479">
        <f>industrie!P18</f>
        <v>0</v>
      </c>
      <c r="Q8" s="477">
        <f t="shared" si="0"/>
        <v>804689.49971602391</v>
      </c>
    </row>
    <row r="9" spans="1:17" s="483" customFormat="1">
      <c r="A9" s="481" t="s">
        <v>561</v>
      </c>
      <c r="B9" s="482">
        <f>transport!B14</f>
        <v>1155.1160220000522</v>
      </c>
      <c r="C9" s="482"/>
      <c r="D9" s="482">
        <f>transport!D14</f>
        <v>3911.1165694025385</v>
      </c>
      <c r="E9" s="482">
        <f>transport!E14</f>
        <v>5960.4056085709917</v>
      </c>
      <c r="F9" s="482"/>
      <c r="G9" s="482">
        <f>transport!G14</f>
        <v>2399951.4775485536</v>
      </c>
      <c r="H9" s="482">
        <f>transport!H14</f>
        <v>452368.83880866255</v>
      </c>
      <c r="I9" s="482"/>
      <c r="J9" s="482"/>
      <c r="K9" s="482"/>
      <c r="L9" s="482"/>
      <c r="M9" s="482">
        <f>transport!M14</f>
        <v>153645.36821189497</v>
      </c>
      <c r="N9" s="482"/>
      <c r="O9" s="482"/>
      <c r="P9" s="482"/>
      <c r="Q9" s="481">
        <f>SUM(B9:P9)</f>
        <v>3016992.3227690845</v>
      </c>
    </row>
    <row r="10" spans="1:17">
      <c r="A10" s="477" t="s">
        <v>551</v>
      </c>
      <c r="B10" s="478">
        <f>transport!B54</f>
        <v>34187.039248763256</v>
      </c>
      <c r="C10" s="478"/>
      <c r="D10" s="478">
        <f>transport!D54</f>
        <v>0</v>
      </c>
      <c r="E10" s="478"/>
      <c r="F10" s="478"/>
      <c r="G10" s="478">
        <f>transport!G54</f>
        <v>46659.865816166901</v>
      </c>
      <c r="H10" s="478"/>
      <c r="I10" s="478"/>
      <c r="J10" s="478"/>
      <c r="K10" s="478"/>
      <c r="L10" s="478"/>
      <c r="M10" s="478">
        <f>transport!M54</f>
        <v>2650.0743948165405</v>
      </c>
      <c r="N10" s="478"/>
      <c r="O10" s="478"/>
      <c r="P10" s="479"/>
      <c r="Q10" s="477">
        <f t="shared" si="0"/>
        <v>83496.979459746697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2241096.9546457003</v>
      </c>
      <c r="C14" s="488">
        <f t="shared" ref="C14:Q14" ca="1" si="1">SUM(C4:C13)</f>
        <v>15493.871782496783</v>
      </c>
      <c r="D14" s="488">
        <f t="shared" ca="1" si="1"/>
        <v>4183195.7558672703</v>
      </c>
      <c r="E14" s="488">
        <f t="shared" si="1"/>
        <v>76693.909300626576</v>
      </c>
      <c r="F14" s="488">
        <f t="shared" ca="1" si="1"/>
        <v>485406.08785498014</v>
      </c>
      <c r="G14" s="488">
        <f t="shared" si="1"/>
        <v>2446611.3433647207</v>
      </c>
      <c r="H14" s="488">
        <f t="shared" si="1"/>
        <v>452368.83880866255</v>
      </c>
      <c r="I14" s="488">
        <f t="shared" si="1"/>
        <v>0</v>
      </c>
      <c r="J14" s="488">
        <f t="shared" si="1"/>
        <v>5434.5985688490509</v>
      </c>
      <c r="K14" s="488">
        <f t="shared" si="1"/>
        <v>0</v>
      </c>
      <c r="L14" s="488">
        <f t="shared" ca="1" si="1"/>
        <v>0</v>
      </c>
      <c r="M14" s="488">
        <f t="shared" si="1"/>
        <v>156295.4426067115</v>
      </c>
      <c r="N14" s="488">
        <f t="shared" ca="1" si="1"/>
        <v>200282.31138639653</v>
      </c>
      <c r="O14" s="488">
        <f t="shared" si="1"/>
        <v>1710.2866666666669</v>
      </c>
      <c r="P14" s="489">
        <f t="shared" si="1"/>
        <v>3432</v>
      </c>
      <c r="Q14" s="489">
        <f t="shared" ca="1" si="1"/>
        <v>10268021.400853081</v>
      </c>
    </row>
    <row r="16" spans="1:17">
      <c r="A16" s="491" t="s">
        <v>556</v>
      </c>
      <c r="B16" s="841">
        <f ca="1">huishoudens!B10</f>
        <v>0.20686938294932292</v>
      </c>
      <c r="C16" s="841">
        <f ca="1">huishoudens!C10</f>
        <v>0.23764619518987823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132987.1321098094</v>
      </c>
      <c r="C21" s="478">
        <f t="shared" ref="C21:C28" ca="1" si="3">C4*$C$16</f>
        <v>0</v>
      </c>
      <c r="D21" s="478">
        <f t="shared" ref="D21:D30" si="4">D4*$D$16</f>
        <v>427365.1876824213</v>
      </c>
      <c r="E21" s="478">
        <f t="shared" ref="E21:E30" si="5">E4*$E$16</f>
        <v>8935.2982070440903</v>
      </c>
      <c r="F21" s="478">
        <f t="shared" ref="F21:F28" si="6">F4*$F$16</f>
        <v>32812.774232727927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602100.39223200281</v>
      </c>
    </row>
    <row r="22" spans="1:17">
      <c r="A22" s="477" t="s">
        <v>156</v>
      </c>
      <c r="B22" s="478">
        <f t="shared" ca="1" si="2"/>
        <v>243438.88142827238</v>
      </c>
      <c r="C22" s="478">
        <f t="shared" ca="1" si="3"/>
        <v>2450.7128922220509</v>
      </c>
      <c r="D22" s="478">
        <f t="shared" ca="1" si="4"/>
        <v>315273.61704007565</v>
      </c>
      <c r="E22" s="478">
        <f t="shared" si="5"/>
        <v>2687.9182522540095</v>
      </c>
      <c r="F22" s="478">
        <f t="shared" ca="1" si="6"/>
        <v>51367.915782775162</v>
      </c>
      <c r="G22" s="478">
        <f t="shared" si="7"/>
        <v>0</v>
      </c>
      <c r="H22" s="478">
        <f t="shared" si="8"/>
        <v>0</v>
      </c>
      <c r="I22" s="478">
        <f t="shared" si="9"/>
        <v>0</v>
      </c>
      <c r="J22" s="478">
        <f t="shared" si="10"/>
        <v>0.67345191718786557</v>
      </c>
      <c r="K22" s="478">
        <f t="shared" si="11"/>
        <v>0</v>
      </c>
      <c r="L22" s="478">
        <f t="shared" ca="1" si="12"/>
        <v>0</v>
      </c>
      <c r="M22" s="478">
        <f t="shared" si="13"/>
        <v>0</v>
      </c>
      <c r="N22" s="478">
        <f t="shared" ca="1" si="14"/>
        <v>0</v>
      </c>
      <c r="O22" s="478">
        <f t="shared" si="15"/>
        <v>0</v>
      </c>
      <c r="P22" s="479">
        <f t="shared" si="16"/>
        <v>0</v>
      </c>
      <c r="Q22" s="477">
        <f t="shared" ref="Q22:Q30" ca="1" si="17">SUM(B22:P22)</f>
        <v>615219.71884751646</v>
      </c>
    </row>
    <row r="23" spans="1:17">
      <c r="A23" s="477" t="s">
        <v>194</v>
      </c>
      <c r="B23" s="478">
        <f t="shared" ca="1" si="2"/>
        <v>5864.1673586022807</v>
      </c>
      <c r="C23" s="478"/>
      <c r="D23" s="478"/>
      <c r="E23" s="478"/>
      <c r="F23" s="478"/>
      <c r="G23" s="478"/>
      <c r="H23" s="478"/>
      <c r="I23" s="478"/>
      <c r="J23" s="478"/>
      <c r="K23" s="478"/>
      <c r="L23" s="478"/>
      <c r="M23" s="478"/>
      <c r="N23" s="478"/>
      <c r="O23" s="478"/>
      <c r="P23" s="479"/>
      <c r="Q23" s="477">
        <f t="shared" ca="1" si="17"/>
        <v>5864.1673586022807</v>
      </c>
    </row>
    <row r="24" spans="1:17">
      <c r="A24" s="477" t="s">
        <v>112</v>
      </c>
      <c r="B24" s="478">
        <f t="shared" ca="1" si="2"/>
        <v>4965.8287646746394</v>
      </c>
      <c r="C24" s="478">
        <f t="shared" ca="1" si="3"/>
        <v>0</v>
      </c>
      <c r="D24" s="478">
        <f t="shared" si="4"/>
        <v>36300.246930997368</v>
      </c>
      <c r="E24" s="478">
        <f t="shared" si="5"/>
        <v>160.16443856469658</v>
      </c>
      <c r="F24" s="478">
        <f t="shared" si="6"/>
        <v>26700.562731121565</v>
      </c>
      <c r="G24" s="478">
        <f t="shared" si="7"/>
        <v>0</v>
      </c>
      <c r="H24" s="478">
        <f t="shared" si="8"/>
        <v>0</v>
      </c>
      <c r="I24" s="478">
        <f t="shared" si="9"/>
        <v>0</v>
      </c>
      <c r="J24" s="478">
        <f t="shared" si="10"/>
        <v>1231.1268352726231</v>
      </c>
      <c r="K24" s="478">
        <f t="shared" si="11"/>
        <v>0</v>
      </c>
      <c r="L24" s="478">
        <f t="shared" si="12"/>
        <v>0</v>
      </c>
      <c r="M24" s="478">
        <f t="shared" si="13"/>
        <v>0</v>
      </c>
      <c r="N24" s="478">
        <f t="shared" si="14"/>
        <v>0</v>
      </c>
      <c r="O24" s="478">
        <f t="shared" si="15"/>
        <v>0</v>
      </c>
      <c r="P24" s="479">
        <f t="shared" si="16"/>
        <v>0</v>
      </c>
      <c r="Q24" s="477">
        <f t="shared" ca="1" si="17"/>
        <v>69357.929700630892</v>
      </c>
    </row>
    <row r="25" spans="1:17">
      <c r="A25" s="477" t="s">
        <v>635</v>
      </c>
      <c r="B25" s="478">
        <f t="shared" ca="1" si="2"/>
        <v>69047.12462284205</v>
      </c>
      <c r="C25" s="478">
        <f t="shared" ca="1" si="3"/>
        <v>1231.3467856481261</v>
      </c>
      <c r="D25" s="478">
        <f t="shared" si="4"/>
        <v>65276.44548467511</v>
      </c>
      <c r="E25" s="478">
        <f t="shared" si="5"/>
        <v>4273.1244402338225</v>
      </c>
      <c r="F25" s="478">
        <f t="shared" si="6"/>
        <v>18722.17271065505</v>
      </c>
      <c r="G25" s="478">
        <f t="shared" si="7"/>
        <v>0</v>
      </c>
      <c r="H25" s="478">
        <f t="shared" si="8"/>
        <v>0</v>
      </c>
      <c r="I25" s="478">
        <f t="shared" si="9"/>
        <v>0</v>
      </c>
      <c r="J25" s="478">
        <f t="shared" si="10"/>
        <v>692.04760618275316</v>
      </c>
      <c r="K25" s="478">
        <f t="shared" si="11"/>
        <v>0</v>
      </c>
      <c r="L25" s="478">
        <f t="shared" si="12"/>
        <v>0</v>
      </c>
      <c r="M25" s="478">
        <f t="shared" si="13"/>
        <v>0</v>
      </c>
      <c r="N25" s="478">
        <f t="shared" si="14"/>
        <v>0</v>
      </c>
      <c r="O25" s="478">
        <f t="shared" si="15"/>
        <v>0</v>
      </c>
      <c r="P25" s="479">
        <f t="shared" si="16"/>
        <v>0</v>
      </c>
      <c r="Q25" s="477">
        <f t="shared" ca="1" si="17"/>
        <v>159242.26165023693</v>
      </c>
    </row>
    <row r="26" spans="1:17" s="483" customFormat="1">
      <c r="A26" s="481" t="s">
        <v>561</v>
      </c>
      <c r="B26" s="835">
        <f t="shared" ca="1" si="2"/>
        <v>238.95813870602731</v>
      </c>
      <c r="C26" s="482"/>
      <c r="D26" s="482">
        <f t="shared" si="4"/>
        <v>790.04554701931283</v>
      </c>
      <c r="E26" s="482">
        <f t="shared" si="5"/>
        <v>1353.0120731456152</v>
      </c>
      <c r="F26" s="482"/>
      <c r="G26" s="482">
        <f t="shared" si="7"/>
        <v>640787.0445054638</v>
      </c>
      <c r="H26" s="482">
        <f t="shared" si="8"/>
        <v>112639.84086335698</v>
      </c>
      <c r="I26" s="482"/>
      <c r="J26" s="482"/>
      <c r="K26" s="482"/>
      <c r="L26" s="482"/>
      <c r="M26" s="482">
        <f t="shared" si="13"/>
        <v>0</v>
      </c>
      <c r="N26" s="482"/>
      <c r="O26" s="482"/>
      <c r="P26" s="493"/>
      <c r="Q26" s="481">
        <f t="shared" ca="1" si="17"/>
        <v>755808.90112769173</v>
      </c>
    </row>
    <row r="27" spans="1:17">
      <c r="A27" s="477" t="s">
        <v>551</v>
      </c>
      <c r="B27" s="478">
        <f t="shared" ca="1" si="2"/>
        <v>7072.2517142559391</v>
      </c>
      <c r="C27" s="478"/>
      <c r="D27" s="482">
        <f t="shared" si="4"/>
        <v>0</v>
      </c>
      <c r="E27" s="478"/>
      <c r="F27" s="478"/>
      <c r="G27" s="478">
        <f t="shared" si="7"/>
        <v>12458.184172916563</v>
      </c>
      <c r="H27" s="478"/>
      <c r="I27" s="478"/>
      <c r="J27" s="478"/>
      <c r="K27" s="478"/>
      <c r="L27" s="478"/>
      <c r="M27" s="478">
        <f t="shared" si="13"/>
        <v>0</v>
      </c>
      <c r="N27" s="478"/>
      <c r="O27" s="478"/>
      <c r="P27" s="479"/>
      <c r="Q27" s="477">
        <f t="shared" ca="1" si="17"/>
        <v>19530.435887172502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463614.34413716279</v>
      </c>
      <c r="C31" s="488">
        <f t="shared" ca="1" si="18"/>
        <v>3682.059677870177</v>
      </c>
      <c r="D31" s="488">
        <f t="shared" ca="1" si="18"/>
        <v>845005.54268518882</v>
      </c>
      <c r="E31" s="488">
        <f t="shared" si="18"/>
        <v>17409.517411242232</v>
      </c>
      <c r="F31" s="488">
        <f t="shared" ca="1" si="18"/>
        <v>129603.42545727971</v>
      </c>
      <c r="G31" s="488">
        <f t="shared" si="18"/>
        <v>653245.22867838037</v>
      </c>
      <c r="H31" s="488">
        <f t="shared" si="18"/>
        <v>112639.84086335698</v>
      </c>
      <c r="I31" s="488">
        <f t="shared" si="18"/>
        <v>0</v>
      </c>
      <c r="J31" s="488">
        <f t="shared" si="18"/>
        <v>1923.8478933725642</v>
      </c>
      <c r="K31" s="488">
        <f t="shared" si="18"/>
        <v>0</v>
      </c>
      <c r="L31" s="488">
        <f t="shared" ca="1" si="18"/>
        <v>0</v>
      </c>
      <c r="M31" s="488">
        <f t="shared" si="18"/>
        <v>0</v>
      </c>
      <c r="N31" s="488">
        <f t="shared" ca="1" si="18"/>
        <v>0</v>
      </c>
      <c r="O31" s="488">
        <f t="shared" si="18"/>
        <v>0</v>
      </c>
      <c r="P31" s="489">
        <f t="shared" si="18"/>
        <v>0</v>
      </c>
      <c r="Q31" s="489">
        <f t="shared" ca="1" si="18"/>
        <v>2227123.8068038537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0.20686938294932292</v>
      </c>
      <c r="C17" s="528">
        <f ca="1">'EF ele_warmte'!B22</f>
        <v>0.23764619518987823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0.20686938294932292</v>
      </c>
      <c r="C17" s="528">
        <f ca="1">'EF ele_warmte'!B22</f>
        <v>0.23764619518987823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0.20686938294932292</v>
      </c>
      <c r="C29" s="529">
        <f ca="1">'EF ele_warmte'!B22</f>
        <v>0.23764619518987823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2019-01-01T21:16:50Z</dcterms:modified>
</cp:coreProperties>
</file>