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L16"/>
  <c r="L18" s="1"/>
  <c r="L8" i="48" s="1"/>
  <c r="F16" i="16"/>
  <c r="N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M13" i="14"/>
  <c r="I5" i="48"/>
  <c r="I22"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Q41" i="14" l="1"/>
  <c r="Q53" s="1"/>
  <c r="Q55" s="1"/>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E1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N22" i="16"/>
  <c r="O39" i="14" s="1"/>
  <c r="O41" s="1"/>
  <c r="F8" i="48"/>
  <c r="Q4"/>
  <c r="N22"/>
  <c r="R11" i="14"/>
  <c r="J21" i="48"/>
  <c r="R10" i="14"/>
  <c r="C10" i="17" l="1"/>
  <c r="C12" s="1"/>
  <c r="D48" i="14" s="1"/>
  <c r="C56" i="22"/>
  <c r="C58" s="1"/>
  <c r="D44" i="14" s="1"/>
  <c r="D46" s="1"/>
  <c r="C17" i="49"/>
  <c r="C20" i="16"/>
  <c r="C22" s="1"/>
  <c r="D39" i="14" s="1"/>
  <c r="C10" i="13"/>
  <c r="C16" i="48" s="1"/>
  <c r="C16" i="22"/>
  <c r="C29" i="20"/>
  <c r="C17" i="19"/>
  <c r="C19" s="1"/>
  <c r="D35" i="14" s="1"/>
  <c r="C18" i="15"/>
  <c r="C20" s="1"/>
  <c r="D36" i="14" s="1"/>
  <c r="J8" i="48"/>
  <c r="J25" s="1"/>
  <c r="J31" s="1"/>
  <c r="O13" i="14"/>
  <c r="O15" s="1"/>
  <c r="N55"/>
  <c r="Q5" i="48"/>
  <c r="N25"/>
  <c r="N31" s="1"/>
  <c r="N14"/>
  <c r="E25"/>
  <c r="E31" s="1"/>
  <c r="E14"/>
  <c r="K13" i="14"/>
  <c r="K15" s="1"/>
  <c r="K23" s="1"/>
  <c r="K55" s="1"/>
  <c r="H55"/>
  <c r="E55"/>
  <c r="C78"/>
  <c r="C81" s="1"/>
  <c r="Q8" i="48"/>
  <c r="R19" i="14"/>
  <c r="R20" s="1"/>
  <c r="H14" i="48"/>
  <c r="G31"/>
  <c r="H26"/>
  <c r="H31" s="1"/>
  <c r="F55" i="14"/>
  <c r="O53"/>
  <c r="G53"/>
  <c r="G55" s="1"/>
  <c r="O69" s="1"/>
  <c r="B9" i="6" s="1"/>
  <c r="B12" s="1"/>
  <c r="M53" i="14"/>
  <c r="M55" s="1"/>
  <c r="C12" i="13"/>
  <c r="D37" i="14" s="1"/>
  <c r="C24" i="48"/>
  <c r="C28"/>
  <c r="C22"/>
  <c r="C25"/>
  <c r="C21"/>
  <c r="R13" i="14"/>
  <c r="R15" s="1"/>
  <c r="F25" i="48"/>
  <c r="F31" s="1"/>
  <c r="F14"/>
  <c r="D41" i="14" l="1"/>
  <c r="D53" s="1"/>
  <c r="D55" s="1"/>
  <c r="J14" i="48"/>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<sst xmlns="http://schemas.openxmlformats.org/spreadsheetml/2006/main" count="2129" uniqueCount="867">
  <si>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</si>
  <si>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</si>
  <si>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</si>
  <si>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</si>
  <si>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</si>
  <si>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</si>
  <si>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</si>
  <si>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</si>
  <si>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</si>
  <si>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</si>
  <si>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</si>
  <si>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</si>
  <si>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</si>
  <si>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</si>
  <si>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</si>
  <si>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</si>
  <si>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</si>
  <si>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</si>
  <si>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</si>
  <si>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</si>
  <si>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</si>
  <si>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</si>
  <si>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</si>
  <si>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</si>
  <si>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</si>
  <si>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</si>
  <si>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</si>
  <si>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</si>
  <si>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</si>
  <si>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</si>
  <si>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</si>
  <si>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</si>
  <si>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</si>
  <si>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</si>
  <si>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</si>
  <si>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</si>
  <si>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</si>
  <si>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</si>
  <si>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</si>
  <si>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</si>
  <si>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</si>
  <si>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</si>
  <si>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</si>
  <si>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</si>
  <si>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</si>
  <si>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</si>
  <si>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</si>
  <si>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</si>
  <si>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</si>
  <si>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</si>
  <si>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</si>
  <si>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</si>
  <si>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</si>
  <si>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</si>
  <si>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</si>
  <si>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</si>
  <si>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</si>
  <si>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</si>
  <si>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</si>
  <si>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</si>
  <si>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</si>
  <si>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</si>
  <si>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</si>
  <si>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</si>
  <si>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</si>
  <si>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</si>
  <si>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</si>
  <si>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</si>
  <si>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</si>
  <si>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</si>
  <si>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</si>
  <si>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</si>
  <si>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</si>
  <si>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</si>
  <si>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</si>
  <si>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</si>
  <si>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</si>
  <si>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</si>
  <si>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</si>
  <si>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</si>
  <si>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</si>
  <si>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</si>
  <si>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</si>
  <si>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</si>
  <si>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</si>
  <si>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</si>
  <si>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</si>
  <si>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</si>
  <si>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</si>
  <si>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</si>
  <si>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</si>
  <si>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</si>
  <si>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</si>
  <si>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</si>
  <si>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</si>
  <si>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</si>
  <si>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</si>
  <si>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</si>
  <si>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</si>
  <si>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</si>
  <si>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</si>
  <si>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</si>
  <si>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</si>
  <si>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</si>
  <si>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</si>
  <si>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</si>
  <si>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</si>
  <si>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</si>
  <si>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</si>
  <si>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</si>
  <si>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</si>
  <si>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</si>
  <si>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</si>
  <si>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</si>
  <si>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</si>
  <si>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</si>
  <si>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</si>
  <si>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</si>
  <si>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</si>
  <si>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</si>
  <si>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</si>
  <si>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</si>
  <si>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</si>
  <si>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</si>
  <si>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</si>
  <si>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</si>
  <si>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</si>
  <si>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</si>
  <si>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</si>
  <si>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</si>
  <si>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</si>
  <si>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</si>
  <si>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</si>
  <si>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</si>
  <si>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</si>
  <si>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</si>
  <si>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</si>
  <si>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</si>
  <si>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</si>
  <si>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</si>
  <si>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</si>
  <si>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</si>
  <si>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</si>
  <si>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</si>
  <si>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</si>
  <si>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</si>
  <si>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</si>
  <si>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</si>
  <si>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</si>
  <si>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</si>
  <si>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</si>
  <si>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</si>
  <si>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</si>
  <si>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</si>
  <si>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</si>
  <si>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</si>
  <si>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</si>
  <si>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</si>
  <si>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</si>
  <si>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</si>
  <si>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</si>
  <si>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</si>
  <si>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</si>
  <si>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</si>
  <si>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</si>
  <si>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</si>
  <si>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</si>
  <si>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</si>
  <si>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</si>
  <si>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</si>
  <si>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</si>
  <si>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</si>
  <si>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</si>
  <si>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</si>
  <si>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</si>
  <si>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</si>
  <si>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</si>
  <si>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</si>
  <si>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</si>
  <si>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</si>
  <si>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</si>
  <si>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</si>
  <si>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</si>
  <si>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</si>
  <si>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</si>
  <si>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</si>
  <si>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</si>
  <si>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</si>
  <si>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</si>
  <si>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</si>
  <si>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</si>
  <si>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</si>
  <si>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</si>
  <si>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</si>
  <si>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</si>
  <si>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</si>
  <si>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</si>
  <si>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</si>
  <si>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</si>
  <si>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</si>
  <si>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</si>
  <si>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</si>
  <si>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</si>
  <si>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</si>
  <si>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</si>
  <si>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</si>
  <si>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</si>
  <si>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</si>
  <si>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</si>
  <si>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</si>
  <si>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</si>
  <si>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</si>
  <si>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</si>
  <si>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</si>
  <si>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</si>
  <si>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</si>
  <si>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</si>
  <si>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</si>
  <si>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</si>
  <si>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</si>
  <si>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</si>
  <si>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</si>
  <si>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</si>
  <si>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</si>
  <si>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</si>
  <si>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</si>
  <si>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</si>
  <si>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</si>
  <si>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</si>
  <si>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</si>
  <si>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</si>
  <si>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</si>
  <si>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</si>
  <si>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</si>
  <si>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</si>
  <si>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</si>
  <si>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</si>
  <si>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</si>
  <si>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</si>
  <si>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</si>
  <si>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</si>
  <si>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</si>
  <si>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</si>
  <si>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</si>
  <si>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</si>
  <si>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</si>
  <si>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</si>
  <si>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</si>
  <si>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</si>
  <si>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</si>
  <si>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</si>
  <si>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</si>
  <si>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</si>
  <si>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</si>
  <si>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</si>
  <si>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</si>
  <si>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</si>
  <si>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</si>
  <si>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</si>
  <si>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</si>
  <si>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</si>
  <si>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</si>
  <si>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</si>
  <si>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</si>
  <si>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</si>
  <si>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</si>
  <si>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</si>
  <si>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</si>
  <si>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</si>
  <si>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</si>
  <si>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</si>
  <si>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</si>
  <si>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</si>
  <si>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</si>
  <si>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</si>
  <si>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</si>
  <si>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</si>
  <si>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</si>
  <si>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</si>
  <si>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</si>
  <si>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</si>
  <si>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</si>
  <si>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</si>
  <si>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</si>
  <si>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</si>
  <si>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</si>
  <si>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</si>
  <si>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</si>
  <si>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</si>
  <si>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</si>
  <si>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</si>
  <si>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</si>
  <si>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</si>
  <si>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</si>
  <si>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</si>
  <si>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</si>
  <si>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</si>
  <si>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</si>
  <si>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</si>
  <si>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</si>
  <si>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</si>
  <si>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</si>
  <si>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</si>
  <si>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</si>
  <si>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</si>
  <si>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</si>
  <si>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</si>
  <si>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</si>
  <si>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</si>
  <si>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</si>
  <si>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</si>
  <si>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</si>
  <si>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</si>
  <si>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</si>
  <si>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</si>
  <si>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</si>
  <si>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</si>
  <si>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</si>
  <si>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</si>
  <si>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</si>
  <si>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</si>
  <si>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</si>
  <si>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</si>
  <si>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</si>
  <si>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</si>
  <si>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</si>
  <si>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</si>
  <si>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</si>
  <si>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</si>
  <si>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</si>
  <si>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</si>
  <si>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</si>
  <si>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</si>
  <si>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</si>
  <si>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</si>
  <si>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</si>
  <si>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</si>
  <si>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</si>
  <si>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</si>
  <si>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</si>
  <si>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</si>
  <si>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</si>
  <si>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</si>
  <si>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</si>
  <si>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</si>
  <si>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</si>
  <si>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</si>
  <si>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</si>
  <si>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</si>
  <si>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</si>
  <si>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</si>
  <si>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</si>
  <si>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</si>
  <si>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</si>
  <si>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</si>
  <si>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</si>
  <si>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</si>
  <si>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</si>
  <si>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</si>
  <si>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</si>
  <si>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</si>
  <si>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</si>
  <si>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</si>
  <si>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</si>
  <si>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</si>
  <si>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</si>
  <si>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</si>
  <si>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</si>
  <si>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</si>
  <si>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</si>
  <si>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</si>
  <si>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</si>
  <si>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</si>
  <si>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</si>
  <si>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</si>
  <si>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</si>
  <si>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</si>
  <si>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</si>
  <si>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</si>
  <si>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</si>
  <si>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</si>
  <si>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</si>
  <si>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</si>
  <si>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</si>
  <si>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</si>
  <si>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</si>
  <si>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</si>
  <si>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</si>
  <si>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</si>
  <si>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</si>
  <si>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</si>
  <si>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</si>
  <si>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</si>
  <si>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</si>
  <si>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</si>
  <si>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</si>
  <si>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</si>
  <si>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</si>
  <si>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</si>
  <si>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</si>
  <si>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</si>
  <si>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</si>
  <si>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</si>
  <si>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</si>
  <si>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</si>
  <si>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</si>
  <si>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</si>
  <si>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</si>
  <si>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</si>
  <si>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</si>
  <si>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</si>
  <si>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</si>
  <si>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</si>
  <si>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</si>
  <si>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</si>
  <si>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</si>
  <si>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</si>
  <si>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</si>
  <si>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</si>
  <si>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</si>
  <si>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</si>
  <si>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</si>
  <si>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</si>
  <si>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</si>
  <si>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</si>
  <si>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</si>
  <si>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</si>
  <si>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</si>
  <si>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</si>
  <si>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</si>
  <si>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</si>
  <si>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</si>
  <si>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</si>
  <si>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</si>
  <si>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</si>
  <si>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</si>
  <si>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</si>
  <si>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</si>
  <si>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</si>
  <si>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</si>
  <si>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</si>
  <si>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</si>
  <si>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</si>
  <si>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</si>
  <si>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</si>
  <si>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</si>
  <si>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</si>
  <si>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</si>
  <si>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</si>
  <si>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</si>
  <si>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</si>
  <si>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</si>
  <si>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</si>
  <si>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</si>
  <si>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</si>
  <si>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</si>
  <si>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</si>
  <si>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</si>
  <si>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</si>
  <si>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</si>
  <si>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</si>
  <si>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</si>
  <si>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</si>
  <si>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</si>
  <si>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</si>
  <si>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</si>
  <si>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</si>
  <si>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</si>
  <si>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</si>
  <si>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</si>
  <si>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</si>
  <si>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</si>
  <si>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</si>
  <si>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</si>
  <si>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</si>
  <si>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</si>
  <si>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</si>
  <si>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</si>
  <si>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</si>
  <si>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</si>
  <si>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</si>
  <si>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</si>
  <si>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</si>
  <si>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</si>
  <si>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</si>
  <si>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</si>
  <si>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</si>
  <si>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</si>
  <si>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</si>
  <si>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</si>
  <si>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</si>
  <si>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</si>
  <si>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</si>
  <si>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</si>
  <si>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</si>
  <si>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</si>
  <si>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</si>
  <si>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</si>
  <si>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</si>
  <si>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</si>
  <si>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</si>
  <si>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</si>
  <si>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</si>
  <si>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</si>
  <si>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</si>
  <si>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</si>
  <si>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</si>
  <si>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</si>
  <si>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</si>
  <si>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</si>
  <si>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</si>
  <si>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</si>
  <si>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</si>
  <si>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</si>
  <si>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</si>
  <si>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</si>
  <si>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</si>
  <si>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</si>
  <si>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</si>
  <si>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</si>
  <si>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</si>
  <si>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</si>
  <si>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</si>
  <si>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</si>
  <si>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</si>
  <si>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</si>
  <si>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</si>
  <si>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</si>
  <si>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</si>
  <si>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</si>
  <si>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</si>
  <si>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</si>
  <si>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</si>
  <si>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</si>
  <si>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</si>
  <si>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</si>
  <si>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</si>
  <si>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</si>
  <si>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</si>
  <si>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</si>
  <si>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</si>
  <si>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</si>
  <si>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</si>
  <si>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</si>
  <si>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</si>
  <si>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</si>
  <si>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</si>
  <si>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</si>
  <si>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</si>
  <si>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</si>
  <si>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</si>
  <si>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</si>
  <si>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</si>
  <si>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</si>
  <si>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</si>
  <si>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</si>
  <si>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</si>
  <si>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</si>
  <si>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</si>
  <si>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</si>
  <si>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</si>
  <si>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</si>
  <si>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</si>
  <si>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</si>
  <si>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</si>
  <si>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</si>
  <si>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</si>
  <si>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</si>
  <si>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</si>
  <si>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</si>
  <si>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</si>
  <si>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</si>
  <si>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</si>
  <si>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</si>
  <si>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</si>
  <si>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</si>
  <si>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</si>
  <si>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</si>
  <si>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</si>
  <si>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</si>
  <si>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</si>
  <si>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</si>
  <si>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</si>
  <si>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</si>
  <si>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</si>
  <si>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</si>
  <si>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</si>
  <si>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</si>
  <si>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</si>
  <si>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</si>
  <si>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</si>
  <si>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</si>
  <si>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</si>
  <si>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</si>
  <si>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</si>
  <si>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</si>
  <si>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</si>
  <si>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</si>
  <si>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</si>
  <si>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</si>
  <si>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</si>
  <si>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</si>
  <si>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</si>
  <si>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</si>
  <si>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</si>
  <si>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</si>
  <si>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</si>
  <si>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</si>
  <si>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</si>
  <si>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</si>
  <si>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</si>
  <si>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</si>
  <si>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</si>
  <si>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</si>
  <si>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</si>
  <si>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</si>
  <si>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</si>
  <si>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</si>
  <si>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</si>
  <si>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</si>
  <si>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</si>
  <si>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</si>
  <si>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</si>
  <si>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</si>
  <si>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</si>
  <si>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</si>
  <si>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</si>
  <si>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</si>
  <si>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</si>
  <si>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</si>
  <si>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</si>
  <si>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</si>
  <si>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</si>
  <si>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</si>
  <si>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</si>
  <si>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</si>
  <si>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</si>
  <si>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</si>
  <si>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</si>
  <si>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</si>
  <si>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</si>
  <si>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</si>
  <si>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</si>
  <si>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</si>
  <si>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</si>
  <si>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</si>
  <si>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</si>
  <si>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</si>
  <si>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</si>
  <si>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</si>
  <si>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</si>
  <si>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</si>
  <si>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</si>
  <si>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</si>
  <si>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</si>
  <si>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</si>
  <si>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</si>
  <si>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</si>
  <si>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</si>
  <si>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</si>
  <si>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</si>
  <si>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</si>
  <si>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</si>
  <si>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</si>
  <si>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</si>
  <si>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</si>
  <si>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</si>
  <si>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</si>
  <si>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</si>
  <si>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</si>
  <si>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</si>
  <si>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</si>
  <si>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</si>
  <si>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</si>
  <si>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</si>
  <si>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</si>
  <si>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</si>
  <si>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</si>
  <si>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</si>
  <si>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</si>
  <si>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</si>
  <si>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</si>
  <si>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</si>
  <si>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</si>
  <si>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</si>
  <si>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</si>
  <si>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</si>
  <si>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</si>
  <si>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</si>
  <si>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</si>
  <si>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</si>
  <si>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</si>
  <si>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</si>
  <si>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</si>
  <si>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</si>
  <si>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</si>
  <si>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</si>
  <si>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</si>
  <si>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</si>
  <si>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</si>
  <si>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</si>
  <si>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</si>
  <si>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</si>
  <si>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</si>
  <si>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</si>
  <si>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</si>
  <si>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</si>
  <si>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</si>
  <si>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</si>
  <si>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</si>
  <si>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</si>
  <si>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</si>
  <si>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</si>
  <si>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</si>
  <si>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</si>
  <si>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</si>
  <si>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</si>
  <si>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</si>
  <si>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</si>
  <si>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</si>
  <si>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</si>
  <si>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</si>
  <si>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</si>
  <si>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</si>
  <si>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</si>
  <si>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</si>
  <si>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</si>
  <si>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</si>
  <si>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</si>
  <si>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</si>
  <si>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</si>
  <si>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</si>
  <si>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</si>
  <si>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</si>
  <si>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</si>
  <si>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</si>
  <si>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</si>
  <si>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</si>
  <si>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</si>
  <si>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</si>
  <si>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</si>
  <si>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</si>
  <si>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</si>
  <si>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</si>
  <si>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</si>
  <si>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</si>
  <si>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</si>
  <si>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</si>
  <si>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</si>
  <si>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</si>
  <si>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</si>
  <si>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</si>
  <si>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</si>
  <si>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</si>
  <si>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</si>
  <si>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</si>
  <si>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</si>
  <si>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</si>
  <si>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</si>
  <si>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</si>
  <si>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</si>
  <si>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</si>
  <si>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</si>
  <si>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</si>
  <si>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</si>
  <si>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</si>
  <si>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</si>
  <si>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</si>
  <si>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</si>
  <si>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</si>
  <si>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</si>
  <si>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</si>
  <si>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</si>
  <si>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</si>
  <si>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</si>
  <si>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</si>
  <si>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</si>
  <si>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</si>
  <si>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</si>
  <si>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</si>
  <si>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</si>
  <si>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</si>
  <si>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</si>
  <si>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</si>
  <si>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</si>
  <si>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</si>
  <si>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</si>
  <si>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</si>
  <si>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</si>
  <si>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</si>
  <si>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</si>
  <si>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</si>
  <si>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</si>
  <si>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</si>
  <si>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</si>
  <si>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</si>
  <si>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</si>
  <si>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</si>
  <si>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</si>
  <si>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</si>
  <si>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</si>
  <si>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</si>
  <si>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</si>
  <si>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</si>
  <si>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</si>
  <si>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</si>
  <si>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</si>
  <si>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</si>
  <si>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</si>
  <si>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</si>
  <si>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</si>
  <si>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</si>
  <si>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</si>
  <si>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</si>
  <si>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</si>
  <si>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</si>
  <si>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</si>
  <si>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</si>
  <si>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</si>
  <si>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</si>
  <si>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</si>
  <si>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</si>
  <si>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</si>
  <si>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</si>
  <si>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</si>
  <si>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</si>
  <si>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</si>
  <si>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</si>
  <si>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</si>
  <si>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</si>
  <si>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</si>
  <si>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</si>
  <si>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</si>
  <si>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</si>
  <si>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</si>
  <si>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</si>
  <si>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</si>
  <si>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</si>
  <si>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</si>
  <si>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</si>
  <si>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</si>
  <si>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</si>
  <si>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</si>
  <si>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</si>
  <si>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</si>
  <si>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</si>
  <si>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</si>
  <si>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71053</t>
  </si>
  <si>
    <t>SINT-TRUIDEN</t>
  </si>
  <si>
    <t>Paarden&amp;pony's 200 - 600 kg</t>
  </si>
  <si>
    <t>Paarden&amp;pony's &lt; 200 kg</t>
  </si>
  <si>
    <t>referentietaak LNE (2017); Jaarverslag De Lijn (2015)</t>
  </si>
  <si>
    <t>op basis van VEA (maart 2018) en Inventaris Hernieuwbare Energiebronnen (juni 2018)</t>
  </si>
  <si>
    <t>VEA (januari 2017)</t>
  </si>
  <si>
    <t>VEA (juni 2018)</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</si>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</sst>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341363.90605434647</c:v>
                </c:pt>
                <c:pt idx="1">
                  <c:v>215211.06540729804</c:v>
                </c:pt>
                <c:pt idx="2">
                  <c:v>2350.319</c:v>
                </c:pt>
                <c:pt idx="3">
                  <c:v>52424.658204859785</c:v>
                </c:pt>
                <c:pt idx="4">
                  <c:v>227854.4827933076</c:v>
                </c:pt>
                <c:pt idx="5">
                  <c:v>257604.88840470347</c:v>
                </c:pt>
                <c:pt idx="6">
                  <c:v>5770.4118314848502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34336"/>
        <c:axId val="183940224"/>
      </c:barChart>
      <c:catAx>
        <c:axId val="183934336"/>
        <c:scaling>
          <c:orientation val="minMax"/>
        </c:scaling>
        <c:axPos val="b"/>
        <c:numFmt formatCode="General" sourceLinked="0"/>
        <c:tickLblPos val="nextTo"/>
        <c:crossAx val="183940224"/>
        <c:crosses val="autoZero"/>
        <c:auto val="1"/>
        <c:lblAlgn val="ctr"/>
        <c:lblOffset val="100"/>
      </c:catAx>
      <c:valAx>
        <c:axId val="183940224"/>
        <c:scaling>
          <c:orientation val="minMax"/>
        </c:scaling>
        <c:axPos val="l"/>
        <c:majorGridlines/>
        <c:numFmt formatCode="#,##0" sourceLinked="1"/>
        <c:tickLblPos val="nextTo"/>
        <c:crossAx val="1839343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341363.90605434647</c:v>
                </c:pt>
                <c:pt idx="1">
                  <c:v>215211.06540729804</c:v>
                </c:pt>
                <c:pt idx="2">
                  <c:v>2350.319</c:v>
                </c:pt>
                <c:pt idx="3">
                  <c:v>52424.658204859785</c:v>
                </c:pt>
                <c:pt idx="4">
                  <c:v>227854.4827933076</c:v>
                </c:pt>
                <c:pt idx="5">
                  <c:v>257604.88840470347</c:v>
                </c:pt>
                <c:pt idx="6">
                  <c:v>5770.4118314848502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68268.794387377391</c:v>
                </c:pt>
                <c:pt idx="1">
                  <c:v>43531.214866913033</c:v>
                </c:pt>
                <c:pt idx="2">
                  <c:v>470.94864813674667</c:v>
                </c:pt>
                <c:pt idx="3">
                  <c:v>13086.964553588459</c:v>
                </c:pt>
                <c:pt idx="4">
                  <c:v>46340.804582683224</c:v>
                </c:pt>
                <c:pt idx="5">
                  <c:v>65848.34159854184</c:v>
                </c:pt>
                <c:pt idx="6">
                  <c:v>1494.3486083067205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22304"/>
        <c:axId val="184389632"/>
      </c:barChart>
      <c:catAx>
        <c:axId val="184322304"/>
        <c:scaling>
          <c:orientation val="minMax"/>
        </c:scaling>
        <c:axPos val="b"/>
        <c:numFmt formatCode="General" sourceLinked="0"/>
        <c:tickLblPos val="nextTo"/>
        <c:crossAx val="184389632"/>
        <c:crosses val="autoZero"/>
        <c:auto val="1"/>
        <c:lblAlgn val="ctr"/>
        <c:lblOffset val="100"/>
      </c:catAx>
      <c:valAx>
        <c:axId val="184389632"/>
        <c:scaling>
          <c:orientation val="minMax"/>
        </c:scaling>
        <c:axPos val="l"/>
        <c:majorGridlines/>
        <c:numFmt formatCode="#,##0" sourceLinked="1"/>
        <c:tickLblPos val="nextTo"/>
        <c:crossAx val="184322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68268.794387377391</c:v>
                </c:pt>
                <c:pt idx="1">
                  <c:v>43531.214866913033</c:v>
                </c:pt>
                <c:pt idx="2">
                  <c:v>470.94864813674667</c:v>
                </c:pt>
                <c:pt idx="3">
                  <c:v>13086.964553588459</c:v>
                </c:pt>
                <c:pt idx="4">
                  <c:v>46340.804582683224</c:v>
                </c:pt>
                <c:pt idx="5">
                  <c:v>65848.34159854184</c:v>
                </c:pt>
                <c:pt idx="6">
                  <c:v>1494.3486083067205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71053</v>
      </c>
      <c r="B6" s="415"/>
      <c r="C6" s="416"/>
    </row>
    <row r="7" spans="1:7" s="413" customFormat="1" ht="15.75" customHeight="1">
      <c r="A7" s="417" t="str">
        <f>txtMunicipality</f>
        <v>SINT-TRUIDEN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96860.155000000013</v>
      </c>
      <c r="D10" s="718">
        <f ca="1">tertiair!C16</f>
        <v>34.071428571428577</v>
      </c>
      <c r="E10" s="718">
        <f ca="1">tertiair!D16</f>
        <v>89778.595156857162</v>
      </c>
      <c r="F10" s="718">
        <f>tertiair!E16</f>
        <v>1756.4852656296</v>
      </c>
      <c r="G10" s="718">
        <f ca="1">tertiair!F16</f>
        <v>22665.060863255891</v>
      </c>
      <c r="H10" s="718">
        <f>tertiair!G16</f>
        <v>0</v>
      </c>
      <c r="I10" s="718">
        <f>tertiair!H16</f>
        <v>0</v>
      </c>
      <c r="J10" s="718">
        <f>tertiair!I16</f>
        <v>0</v>
      </c>
      <c r="K10" s="718">
        <f>tertiair!J16</f>
        <v>0</v>
      </c>
      <c r="L10" s="718">
        <f>tertiair!K16</f>
        <v>0</v>
      </c>
      <c r="M10" s="718">
        <f ca="1">tertiair!L16</f>
        <v>0</v>
      </c>
      <c r="N10" s="718">
        <f>tertiair!M16</f>
        <v>0</v>
      </c>
      <c r="O10" s="718">
        <f ca="1">tertiair!N16</f>
        <v>6409.8166929839226</v>
      </c>
      <c r="P10" s="718">
        <f>tertiair!O16</f>
        <v>0</v>
      </c>
      <c r="Q10" s="719">
        <f>tertiair!P16</f>
        <v>57.2</v>
      </c>
      <c r="R10" s="721">
        <f ca="1">SUM(C10:Q10)</f>
        <v>217561.38440729806</v>
      </c>
      <c r="S10" s="67"/>
    </row>
    <row r="11" spans="1:19" s="474" customFormat="1">
      <c r="A11" s="870" t="s">
        <v>225</v>
      </c>
      <c r="B11" s="875"/>
      <c r="C11" s="718">
        <f>huishoudens!B8</f>
        <v>66160.414123600087</v>
      </c>
      <c r="D11" s="718">
        <f>huishoudens!C8</f>
        <v>0</v>
      </c>
      <c r="E11" s="718">
        <f>huishoudens!D8</f>
        <v>144550.44115600002</v>
      </c>
      <c r="F11" s="718">
        <f>huishoudens!E8</f>
        <v>9808.1696834849336</v>
      </c>
      <c r="G11" s="718">
        <f>huishoudens!F8</f>
        <v>88337.677367676282</v>
      </c>
      <c r="H11" s="718">
        <f>huishoudens!G8</f>
        <v>0</v>
      </c>
      <c r="I11" s="718">
        <f>huishoudens!H8</f>
        <v>0</v>
      </c>
      <c r="J11" s="718">
        <f>huishoudens!I8</f>
        <v>0</v>
      </c>
      <c r="K11" s="718">
        <f>huishoudens!J8</f>
        <v>0</v>
      </c>
      <c r="L11" s="718">
        <f>huishoudens!K8</f>
        <v>0</v>
      </c>
      <c r="M11" s="718">
        <f>huishoudens!L8</f>
        <v>0</v>
      </c>
      <c r="N11" s="718">
        <f>huishoudens!M8</f>
        <v>0</v>
      </c>
      <c r="O11" s="718">
        <f>huishoudens!N8</f>
        <v>29653.000390251771</v>
      </c>
      <c r="P11" s="718">
        <f>huishoudens!O8</f>
        <v>451.80333333333334</v>
      </c>
      <c r="Q11" s="719">
        <f>huishoudens!P8</f>
        <v>2402.4</v>
      </c>
      <c r="R11" s="721">
        <f>SUM(C11:Q11)</f>
        <v>341363.90605434647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85688.756000000008</v>
      </c>
      <c r="D13" s="718">
        <f>industrie!C18</f>
        <v>0</v>
      </c>
      <c r="E13" s="718">
        <f>industrie!D18</f>
        <v>92318.034908000001</v>
      </c>
      <c r="F13" s="718">
        <f>industrie!E18</f>
        <v>3866.2034254324408</v>
      </c>
      <c r="G13" s="718">
        <f>industrie!F18</f>
        <v>36108.126844869381</v>
      </c>
      <c r="H13" s="718">
        <f>industrie!G18</f>
        <v>0</v>
      </c>
      <c r="I13" s="718">
        <f>industrie!H18</f>
        <v>0</v>
      </c>
      <c r="J13" s="718">
        <f>industrie!I18</f>
        <v>0</v>
      </c>
      <c r="K13" s="718">
        <f>industrie!J18</f>
        <v>11.446841272124484</v>
      </c>
      <c r="L13" s="718">
        <f>industrie!K18</f>
        <v>0</v>
      </c>
      <c r="M13" s="718">
        <f>industrie!L18</f>
        <v>0</v>
      </c>
      <c r="N13" s="718">
        <f>industrie!M18</f>
        <v>0</v>
      </c>
      <c r="O13" s="718">
        <f>industrie!N18</f>
        <v>9861.914773733637</v>
      </c>
      <c r="P13" s="718">
        <f>industrie!O18</f>
        <v>0</v>
      </c>
      <c r="Q13" s="719">
        <f>industrie!P18</f>
        <v>0</v>
      </c>
      <c r="R13" s="721">
        <f>SUM(C13:Q13)</f>
        <v>227854.4827933076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248709.32512360008</v>
      </c>
      <c r="D15" s="723">
        <f t="shared" ref="D15:Q15" ca="1" si="0">SUM(D9:D14)</f>
        <v>34.071428571428577</v>
      </c>
      <c r="E15" s="723">
        <f t="shared" ca="1" si="0"/>
        <v>326647.07122085721</v>
      </c>
      <c r="F15" s="723">
        <f t="shared" si="0"/>
        <v>15430.858374546975</v>
      </c>
      <c r="G15" s="723">
        <f t="shared" ca="1" si="0"/>
        <v>147110.86507580156</v>
      </c>
      <c r="H15" s="723">
        <f t="shared" si="0"/>
        <v>0</v>
      </c>
      <c r="I15" s="723">
        <f t="shared" si="0"/>
        <v>0</v>
      </c>
      <c r="J15" s="723">
        <f t="shared" si="0"/>
        <v>0</v>
      </c>
      <c r="K15" s="723">
        <f t="shared" si="0"/>
        <v>11.446841272124484</v>
      </c>
      <c r="L15" s="723">
        <f t="shared" si="0"/>
        <v>0</v>
      </c>
      <c r="M15" s="723">
        <f t="shared" ca="1" si="0"/>
        <v>0</v>
      </c>
      <c r="N15" s="723">
        <f t="shared" si="0"/>
        <v>0</v>
      </c>
      <c r="O15" s="723">
        <f t="shared" ca="1" si="0"/>
        <v>45924.731856969331</v>
      </c>
      <c r="P15" s="723">
        <f t="shared" si="0"/>
        <v>451.80333333333334</v>
      </c>
      <c r="Q15" s="724">
        <f t="shared" si="0"/>
        <v>2459.6</v>
      </c>
      <c r="R15" s="725">
        <f ca="1">SUM(R9:R14)</f>
        <v>786779.77325495216</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5596.8112670663686</v>
      </c>
      <c r="I18" s="718">
        <f>transport!H54</f>
        <v>0</v>
      </c>
      <c r="J18" s="718">
        <f>transport!I54</f>
        <v>0</v>
      </c>
      <c r="K18" s="718">
        <f>transport!J54</f>
        <v>0</v>
      </c>
      <c r="L18" s="718">
        <f>transport!K54</f>
        <v>0</v>
      </c>
      <c r="M18" s="718">
        <f>transport!L54</f>
        <v>0</v>
      </c>
      <c r="N18" s="718">
        <f>transport!M54</f>
        <v>173.60056441848141</v>
      </c>
      <c r="O18" s="718">
        <f>transport!N54</f>
        <v>0</v>
      </c>
      <c r="P18" s="718">
        <f>transport!O54</f>
        <v>0</v>
      </c>
      <c r="Q18" s="719">
        <f>transport!P54</f>
        <v>0</v>
      </c>
      <c r="R18" s="721">
        <f>SUM(C18:Q18)</f>
        <v>5770.4118314848502</v>
      </c>
      <c r="S18" s="67"/>
    </row>
    <row r="19" spans="1:19" s="474" customFormat="1" ht="15" thickBot="1">
      <c r="A19" s="870" t="s">
        <v>307</v>
      </c>
      <c r="B19" s="875"/>
      <c r="C19" s="727">
        <f>transport!B14</f>
        <v>71.08443966513228</v>
      </c>
      <c r="D19" s="727">
        <f>transport!C14</f>
        <v>0</v>
      </c>
      <c r="E19" s="727">
        <f>transport!D14</f>
        <v>169.14543276373553</v>
      </c>
      <c r="F19" s="727">
        <f>transport!E14</f>
        <v>646.68336131840704</v>
      </c>
      <c r="G19" s="727">
        <f>transport!F14</f>
        <v>0</v>
      </c>
      <c r="H19" s="727">
        <f>transport!G14</f>
        <v>203661.32300450417</v>
      </c>
      <c r="I19" s="727">
        <f>transport!H14</f>
        <v>45283.374321677082</v>
      </c>
      <c r="J19" s="727">
        <f>transport!I14</f>
        <v>0</v>
      </c>
      <c r="K19" s="727">
        <f>transport!J14</f>
        <v>0</v>
      </c>
      <c r="L19" s="727">
        <f>transport!K14</f>
        <v>0</v>
      </c>
      <c r="M19" s="727">
        <f>transport!L14</f>
        <v>0</v>
      </c>
      <c r="N19" s="727">
        <f>transport!M14</f>
        <v>7773.2778447749379</v>
      </c>
      <c r="O19" s="727">
        <f>transport!N14</f>
        <v>0</v>
      </c>
      <c r="P19" s="727">
        <f>transport!O14</f>
        <v>0</v>
      </c>
      <c r="Q19" s="728">
        <f>transport!P14</f>
        <v>0</v>
      </c>
      <c r="R19" s="729">
        <f>SUM(C19:Q19)</f>
        <v>257604.88840470347</v>
      </c>
      <c r="S19" s="67"/>
    </row>
    <row r="20" spans="1:19" s="474" customFormat="1" ht="15.75" thickBot="1">
      <c r="A20" s="730" t="s">
        <v>230</v>
      </c>
      <c r="B20" s="878"/>
      <c r="C20" s="873">
        <f>SUM(C17:C19)</f>
        <v>71.08443966513228</v>
      </c>
      <c r="D20" s="731">
        <f t="shared" ref="D20:R20" si="1">SUM(D17:D19)</f>
        <v>0</v>
      </c>
      <c r="E20" s="731">
        <f t="shared" si="1"/>
        <v>169.14543276373553</v>
      </c>
      <c r="F20" s="731">
        <f t="shared" si="1"/>
        <v>646.68336131840704</v>
      </c>
      <c r="G20" s="731">
        <f t="shared" si="1"/>
        <v>0</v>
      </c>
      <c r="H20" s="731">
        <f t="shared" si="1"/>
        <v>209258.13427157054</v>
      </c>
      <c r="I20" s="731">
        <f t="shared" si="1"/>
        <v>45283.374321677082</v>
      </c>
      <c r="J20" s="731">
        <f t="shared" si="1"/>
        <v>0</v>
      </c>
      <c r="K20" s="731">
        <f t="shared" si="1"/>
        <v>0</v>
      </c>
      <c r="L20" s="731">
        <f t="shared" si="1"/>
        <v>0</v>
      </c>
      <c r="M20" s="731">
        <f t="shared" si="1"/>
        <v>0</v>
      </c>
      <c r="N20" s="731">
        <f t="shared" si="1"/>
        <v>7946.8784091934194</v>
      </c>
      <c r="O20" s="731">
        <f t="shared" si="1"/>
        <v>0</v>
      </c>
      <c r="P20" s="731">
        <f t="shared" si="1"/>
        <v>0</v>
      </c>
      <c r="Q20" s="732">
        <f t="shared" si="1"/>
        <v>0</v>
      </c>
      <c r="R20" s="733">
        <f t="shared" si="1"/>
        <v>263375.30023618834</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9660.6239999999998</v>
      </c>
      <c r="D22" s="727">
        <f>+landbouw!C8</f>
        <v>0</v>
      </c>
      <c r="E22" s="727">
        <f>+landbouw!D8</f>
        <v>5812.7288339999996</v>
      </c>
      <c r="F22" s="727">
        <f>+landbouw!E8</f>
        <v>249.1104004522812</v>
      </c>
      <c r="G22" s="727">
        <f>+landbouw!F8</f>
        <v>35311.42049646972</v>
      </c>
      <c r="H22" s="727">
        <f>+landbouw!G8</f>
        <v>0</v>
      </c>
      <c r="I22" s="727">
        <f>+landbouw!H8</f>
        <v>0</v>
      </c>
      <c r="J22" s="727">
        <f>+landbouw!I8</f>
        <v>0</v>
      </c>
      <c r="K22" s="727">
        <f>+landbouw!J8</f>
        <v>1390.7744739377899</v>
      </c>
      <c r="L22" s="727">
        <f>+landbouw!K8</f>
        <v>0</v>
      </c>
      <c r="M22" s="727">
        <f>+landbouw!L8</f>
        <v>0</v>
      </c>
      <c r="N22" s="727">
        <f>+landbouw!M8</f>
        <v>0</v>
      </c>
      <c r="O22" s="727">
        <f>+landbouw!N8</f>
        <v>0</v>
      </c>
      <c r="P22" s="727">
        <f>+landbouw!O8</f>
        <v>0</v>
      </c>
      <c r="Q22" s="728">
        <f>+landbouw!P8</f>
        <v>0</v>
      </c>
      <c r="R22" s="729">
        <f>SUM(C22:Q22)</f>
        <v>52424.658204859785</v>
      </c>
      <c r="S22" s="67"/>
    </row>
    <row r="23" spans="1:19" s="474" customFormat="1" ht="17.25" thickTop="1" thickBot="1">
      <c r="A23" s="734" t="s">
        <v>116</v>
      </c>
      <c r="B23" s="864"/>
      <c r="C23" s="735">
        <f ca="1">C20+C15+C22</f>
        <v>258441.03356326523</v>
      </c>
      <c r="D23" s="735">
        <f t="shared" ref="D23:Q23" ca="1" si="2">D20+D15+D22</f>
        <v>34.071428571428577</v>
      </c>
      <c r="E23" s="735">
        <f t="shared" ca="1" si="2"/>
        <v>332628.94548762095</v>
      </c>
      <c r="F23" s="735">
        <f t="shared" si="2"/>
        <v>16326.652136317662</v>
      </c>
      <c r="G23" s="735">
        <f t="shared" ca="1" si="2"/>
        <v>182422.28557227127</v>
      </c>
      <c r="H23" s="735">
        <f t="shared" si="2"/>
        <v>209258.13427157054</v>
      </c>
      <c r="I23" s="735">
        <f t="shared" si="2"/>
        <v>45283.374321677082</v>
      </c>
      <c r="J23" s="735">
        <f t="shared" si="2"/>
        <v>0</v>
      </c>
      <c r="K23" s="735">
        <f t="shared" si="2"/>
        <v>1402.2213152099143</v>
      </c>
      <c r="L23" s="735">
        <f t="shared" si="2"/>
        <v>0</v>
      </c>
      <c r="M23" s="735">
        <f t="shared" ca="1" si="2"/>
        <v>0</v>
      </c>
      <c r="N23" s="735">
        <f t="shared" si="2"/>
        <v>7946.8784091934194</v>
      </c>
      <c r="O23" s="735">
        <f t="shared" ca="1" si="2"/>
        <v>45924.731856969331</v>
      </c>
      <c r="P23" s="735">
        <f t="shared" si="2"/>
        <v>451.80333333333334</v>
      </c>
      <c r="Q23" s="736">
        <f t="shared" si="2"/>
        <v>2459.6</v>
      </c>
      <c r="R23" s="737">
        <f ca="1">R20+R15+R22</f>
        <v>1102579.7316960003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19408.496912787476</v>
      </c>
      <c r="D36" s="718">
        <f ca="1">tertiair!C20</f>
        <v>8.0969747899159685</v>
      </c>
      <c r="E36" s="718">
        <f ca="1">tertiair!D20</f>
        <v>18135.276221685148</v>
      </c>
      <c r="F36" s="718">
        <f>tertiair!E20</f>
        <v>398.72215529791919</v>
      </c>
      <c r="G36" s="718">
        <f ca="1">tertiair!F20</f>
        <v>6051.5712504893236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44002.163515049782</v>
      </c>
    </row>
    <row r="37" spans="1:18">
      <c r="A37" s="885" t="s">
        <v>225</v>
      </c>
      <c r="B37" s="892"/>
      <c r="C37" s="718">
        <f ca="1">huishoudens!B12</f>
        <v>13256.990898544744</v>
      </c>
      <c r="D37" s="718">
        <f ca="1">huishoudens!C12</f>
        <v>0</v>
      </c>
      <c r="E37" s="718">
        <f>huishoudens!D12</f>
        <v>29199.189113512006</v>
      </c>
      <c r="F37" s="718">
        <f>huishoudens!E12</f>
        <v>2226.4545181510798</v>
      </c>
      <c r="G37" s="718">
        <f>huishoudens!F12</f>
        <v>23586.159857169569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68268.794387377391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17170.011304303604</v>
      </c>
      <c r="D39" s="718">
        <f ca="1">industrie!C22</f>
        <v>0</v>
      </c>
      <c r="E39" s="718">
        <f>industrie!D22</f>
        <v>18648.243051416001</v>
      </c>
      <c r="F39" s="718">
        <f>industrie!E22</f>
        <v>877.62817757316407</v>
      </c>
      <c r="G39" s="718">
        <f>industrie!F22</f>
        <v>9640.8698675801261</v>
      </c>
      <c r="H39" s="718">
        <f>industrie!G22</f>
        <v>0</v>
      </c>
      <c r="I39" s="718">
        <f>industrie!H22</f>
        <v>0</v>
      </c>
      <c r="J39" s="718">
        <f>industrie!I22</f>
        <v>0</v>
      </c>
      <c r="K39" s="718">
        <f>industrie!J22</f>
        <v>4.0521818103320673</v>
      </c>
      <c r="L39" s="718">
        <f>industrie!K22</f>
        <v>0</v>
      </c>
      <c r="M39" s="718">
        <f>industrie!L22</f>
        <v>0</v>
      </c>
      <c r="N39" s="718">
        <f>industrie!M22</f>
        <v>0</v>
      </c>
      <c r="O39" s="718">
        <f>industrie!N22</f>
        <v>0</v>
      </c>
      <c r="P39" s="718">
        <f>industrie!O22</f>
        <v>0</v>
      </c>
      <c r="Q39" s="828">
        <f>industrie!P22</f>
        <v>0</v>
      </c>
      <c r="R39" s="918">
        <f ca="1">SUM(C39:Q39)</f>
        <v>46340.804582683224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49835.499115635823</v>
      </c>
      <c r="D41" s="763">
        <f t="shared" ref="D41:R41" ca="1" si="4">SUM(D35:D40)</f>
        <v>8.0969747899159685</v>
      </c>
      <c r="E41" s="763">
        <f t="shared" ca="1" si="4"/>
        <v>65982.708386613143</v>
      </c>
      <c r="F41" s="763">
        <f t="shared" si="4"/>
        <v>3502.8048510221629</v>
      </c>
      <c r="G41" s="763">
        <f t="shared" ca="1" si="4"/>
        <v>39278.600975239016</v>
      </c>
      <c r="H41" s="763">
        <f t="shared" si="4"/>
        <v>0</v>
      </c>
      <c r="I41" s="763">
        <f t="shared" si="4"/>
        <v>0</v>
      </c>
      <c r="J41" s="763">
        <f t="shared" si="4"/>
        <v>0</v>
      </c>
      <c r="K41" s="763">
        <f t="shared" si="4"/>
        <v>4.0521818103320673</v>
      </c>
      <c r="L41" s="763">
        <f t="shared" si="4"/>
        <v>0</v>
      </c>
      <c r="M41" s="763">
        <f t="shared" ca="1" si="4"/>
        <v>0</v>
      </c>
      <c r="N41" s="763">
        <f t="shared" si="4"/>
        <v>0</v>
      </c>
      <c r="O41" s="763">
        <f t="shared" ca="1" si="4"/>
        <v>0</v>
      </c>
      <c r="P41" s="763">
        <f t="shared" si="4"/>
        <v>0</v>
      </c>
      <c r="Q41" s="764">
        <f t="shared" si="4"/>
        <v>0</v>
      </c>
      <c r="R41" s="765">
        <f t="shared" ca="1" si="4"/>
        <v>158611.7624851104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1494.3486083067205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1494.3486083067205</v>
      </c>
    </row>
    <row r="45" spans="1:18" ht="15" thickBot="1">
      <c r="A45" s="888" t="s">
        <v>307</v>
      </c>
      <c r="B45" s="898"/>
      <c r="C45" s="727">
        <f ca="1">transport!B18</f>
        <v>14.243649804070078</v>
      </c>
      <c r="D45" s="727">
        <f>transport!C18</f>
        <v>0</v>
      </c>
      <c r="E45" s="727">
        <f>transport!D18</f>
        <v>34.167377418274576</v>
      </c>
      <c r="F45" s="727">
        <f>transport!E18</f>
        <v>146.79712301927842</v>
      </c>
      <c r="G45" s="727">
        <f>transport!F18</f>
        <v>0</v>
      </c>
      <c r="H45" s="727">
        <f>transport!G18</f>
        <v>54377.573242202619</v>
      </c>
      <c r="I45" s="727">
        <f>transport!H18</f>
        <v>11275.560206097593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65848.34159854184</v>
      </c>
    </row>
    <row r="46" spans="1:18" ht="15.75" thickBot="1">
      <c r="A46" s="886" t="s">
        <v>230</v>
      </c>
      <c r="B46" s="899"/>
      <c r="C46" s="763">
        <f t="shared" ref="C46:R46" ca="1" si="5">SUM(C43:C45)</f>
        <v>14.243649804070078</v>
      </c>
      <c r="D46" s="763">
        <f t="shared" ca="1" si="5"/>
        <v>0</v>
      </c>
      <c r="E46" s="763">
        <f t="shared" si="5"/>
        <v>34.167377418274576</v>
      </c>
      <c r="F46" s="763">
        <f t="shared" si="5"/>
        <v>146.79712301927842</v>
      </c>
      <c r="G46" s="763">
        <f t="shared" si="5"/>
        <v>0</v>
      </c>
      <c r="H46" s="763">
        <f t="shared" si="5"/>
        <v>55871.921850509338</v>
      </c>
      <c r="I46" s="763">
        <f t="shared" si="5"/>
        <v>11275.560206097593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67342.690206848565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1935.7618318863992</v>
      </c>
      <c r="D48" s="718">
        <f ca="1">+landbouw!C12</f>
        <v>0</v>
      </c>
      <c r="E48" s="718">
        <f>+landbouw!D12</f>
        <v>1174.171224468</v>
      </c>
      <c r="F48" s="718">
        <f>+landbouw!E12</f>
        <v>56.548060902667835</v>
      </c>
      <c r="G48" s="718">
        <f>+landbouw!F12</f>
        <v>9428.1492725574153</v>
      </c>
      <c r="H48" s="718">
        <f>+landbouw!G12</f>
        <v>0</v>
      </c>
      <c r="I48" s="718">
        <f>+landbouw!H12</f>
        <v>0</v>
      </c>
      <c r="J48" s="718">
        <f>+landbouw!I12</f>
        <v>0</v>
      </c>
      <c r="K48" s="718">
        <f>+landbouw!J12</f>
        <v>492.33416377397759</v>
      </c>
      <c r="L48" s="718">
        <f>+landbouw!K12</f>
        <v>0</v>
      </c>
      <c r="M48" s="718">
        <f>+landbouw!L12</f>
        <v>0</v>
      </c>
      <c r="N48" s="718">
        <f>+landbouw!M12</f>
        <v>0</v>
      </c>
      <c r="O48" s="718">
        <f>+landbouw!N12</f>
        <v>0</v>
      </c>
      <c r="P48" s="718">
        <f>+landbouw!O12</f>
        <v>0</v>
      </c>
      <c r="Q48" s="719">
        <f>+landbouw!P12</f>
        <v>0</v>
      </c>
      <c r="R48" s="761">
        <f ca="1">SUM(C48:Q48)</f>
        <v>13086.964553588459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51785.50459732629</v>
      </c>
      <c r="D53" s="773">
        <f t="shared" ref="D53:Q53" ca="1" si="6">D41+D46+D48</f>
        <v>8.0969747899159685</v>
      </c>
      <c r="E53" s="773">
        <f t="shared" ca="1" si="6"/>
        <v>67191.046988499409</v>
      </c>
      <c r="F53" s="773">
        <f t="shared" si="6"/>
        <v>3706.1500349441089</v>
      </c>
      <c r="G53" s="773">
        <f t="shared" ca="1" si="6"/>
        <v>48706.75024779643</v>
      </c>
      <c r="H53" s="773">
        <f t="shared" si="6"/>
        <v>55871.921850509338</v>
      </c>
      <c r="I53" s="773">
        <f t="shared" si="6"/>
        <v>11275.560206097593</v>
      </c>
      <c r="J53" s="773">
        <f t="shared" si="6"/>
        <v>0</v>
      </c>
      <c r="K53" s="773">
        <f t="shared" si="6"/>
        <v>496.38634558430965</v>
      </c>
      <c r="L53" s="773">
        <f t="shared" si="6"/>
        <v>0</v>
      </c>
      <c r="M53" s="773">
        <f t="shared" ca="1" si="6"/>
        <v>0</v>
      </c>
      <c r="N53" s="773">
        <f t="shared" si="6"/>
        <v>0</v>
      </c>
      <c r="O53" s="773">
        <f t="shared" ca="1" si="6"/>
        <v>0</v>
      </c>
      <c r="P53" s="773">
        <f>P41+P46+P48</f>
        <v>0</v>
      </c>
      <c r="Q53" s="774">
        <f t="shared" si="6"/>
        <v>0</v>
      </c>
      <c r="R53" s="775">
        <f ca="1">R41+R46+R48</f>
        <v>239041.41724554743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0.20037648001686012</v>
      </c>
      <c r="D55" s="836">
        <f t="shared" ca="1" si="7"/>
        <v>0.23764705882352943</v>
      </c>
      <c r="E55" s="836">
        <f t="shared" ca="1" si="7"/>
        <v>0.20199999999999993</v>
      </c>
      <c r="F55" s="836">
        <f t="shared" si="7"/>
        <v>0.22699999999999998</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23624.279875603024</v>
      </c>
      <c r="C66" s="795">
        <f>'lokale energieproductie'!B6</f>
        <v>23624.279875603024</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23.85</v>
      </c>
      <c r="C67" s="794">
        <f>B67*IFERROR(SUM(J67:L67)/SUM(D67:M67),0)</f>
        <v>0</v>
      </c>
      <c r="D67" s="826">
        <f>'lokale energieproductie'!C7</f>
        <v>28.058823529411768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5.6678823529411773</v>
      </c>
      <c r="P67" s="922">
        <v>0</v>
      </c>
      <c r="Q67" s="785"/>
      <c r="R67" s="742"/>
    </row>
    <row r="68" spans="1:18" ht="30.75" thickBot="1">
      <c r="A68" s="801" t="s">
        <v>353</v>
      </c>
      <c r="B68" s="794">
        <f>'lokale energieproductie'!B8</f>
        <v>495</v>
      </c>
      <c r="C68" s="794">
        <f>B68*IFERROR(SUM(J68:L68)/SUM(D68:M68),0)</f>
        <v>495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1414.2857142857144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24143.129875603023</v>
      </c>
      <c r="C69" s="803">
        <f>SUM(C64:C68)</f>
        <v>24119.279875603024</v>
      </c>
      <c r="D69" s="804">
        <f t="shared" ref="D69:M69" si="8">SUM(D67:D68)</f>
        <v>28.058823529411768</v>
      </c>
      <c r="E69" s="804">
        <f t="shared" si="8"/>
        <v>0</v>
      </c>
      <c r="F69" s="804">
        <f t="shared" si="8"/>
        <v>0</v>
      </c>
      <c r="G69" s="804">
        <f t="shared" si="8"/>
        <v>0</v>
      </c>
      <c r="H69" s="804">
        <f t="shared" si="8"/>
        <v>0</v>
      </c>
      <c r="I69" s="804">
        <f t="shared" si="8"/>
        <v>0</v>
      </c>
      <c r="J69" s="804">
        <f t="shared" si="8"/>
        <v>0</v>
      </c>
      <c r="K69" s="804">
        <f t="shared" si="8"/>
        <v>1414.2857142857144</v>
      </c>
      <c r="L69" s="804">
        <f t="shared" si="8"/>
        <v>0</v>
      </c>
      <c r="M69" s="930">
        <f t="shared" si="8"/>
        <v>0</v>
      </c>
      <c r="N69" s="805">
        <v>0</v>
      </c>
      <c r="O69" s="805">
        <f>SUM(O67:O68)</f>
        <v>5.6678823529411773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34.071428571428577</v>
      </c>
      <c r="C78" s="817">
        <f>B78*IFERROR(SUM(I78:L78)/SUM(D78:M78),0)</f>
        <v>0</v>
      </c>
      <c r="D78" s="832">
        <f>'lokale energieproductie'!C16</f>
        <v>40.084033613445385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8.0969747899159685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34.071428571428577</v>
      </c>
      <c r="C81" s="803">
        <f>SUM(C78:C80)</f>
        <v>0</v>
      </c>
      <c r="D81" s="803">
        <f t="shared" ref="D81:P81" si="9">SUM(D78:D80)</f>
        <v>40.084033613445385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8.0969747899159685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66160.414123600087</v>
      </c>
      <c r="C4" s="478">
        <f>huishoudens!C8</f>
        <v>0</v>
      </c>
      <c r="D4" s="478">
        <f>huishoudens!D8</f>
        <v>144550.44115600002</v>
      </c>
      <c r="E4" s="478">
        <f>huishoudens!E8</f>
        <v>9808.1696834849336</v>
      </c>
      <c r="F4" s="478">
        <f>huishoudens!F8</f>
        <v>88337.677367676282</v>
      </c>
      <c r="G4" s="478">
        <f>huishoudens!G8</f>
        <v>0</v>
      </c>
      <c r="H4" s="478">
        <f>huishoudens!H8</f>
        <v>0</v>
      </c>
      <c r="I4" s="478">
        <f>huishoudens!I8</f>
        <v>0</v>
      </c>
      <c r="J4" s="478">
        <f>huishoudens!J8</f>
        <v>0</v>
      </c>
      <c r="K4" s="478">
        <f>huishoudens!K8</f>
        <v>0</v>
      </c>
      <c r="L4" s="478">
        <f>huishoudens!L8</f>
        <v>0</v>
      </c>
      <c r="M4" s="478">
        <f>huishoudens!M8</f>
        <v>0</v>
      </c>
      <c r="N4" s="478">
        <f>huishoudens!N8</f>
        <v>29653.000390251771</v>
      </c>
      <c r="O4" s="478">
        <f>huishoudens!O8</f>
        <v>451.80333333333334</v>
      </c>
      <c r="P4" s="479">
        <f>huishoudens!P8</f>
        <v>2402.4</v>
      </c>
      <c r="Q4" s="480">
        <f>SUM(B4:P4)</f>
        <v>341363.90605434647</v>
      </c>
    </row>
    <row r="5" spans="1:17">
      <c r="A5" s="477" t="s">
        <v>156</v>
      </c>
      <c r="B5" s="478">
        <f ca="1">tertiair!B16</f>
        <v>94509.83600000001</v>
      </c>
      <c r="C5" s="478">
        <f ca="1">tertiair!C16</f>
        <v>34.071428571428577</v>
      </c>
      <c r="D5" s="478">
        <f ca="1">tertiair!D16</f>
        <v>89778.595156857162</v>
      </c>
      <c r="E5" s="478">
        <f>tertiair!E16</f>
        <v>1756.4852656296</v>
      </c>
      <c r="F5" s="478">
        <f ca="1">tertiair!F16</f>
        <v>22665.060863255891</v>
      </c>
      <c r="G5" s="478">
        <f>tertiair!G16</f>
        <v>0</v>
      </c>
      <c r="H5" s="478">
        <f>tertiair!H16</f>
        <v>0</v>
      </c>
      <c r="I5" s="478">
        <f>tertiair!I16</f>
        <v>0</v>
      </c>
      <c r="J5" s="478">
        <f>tertiair!J16</f>
        <v>0</v>
      </c>
      <c r="K5" s="478">
        <f>tertiair!K16</f>
        <v>0</v>
      </c>
      <c r="L5" s="478">
        <f ca="1">tertiair!L16</f>
        <v>0</v>
      </c>
      <c r="M5" s="478">
        <f>tertiair!M16</f>
        <v>0</v>
      </c>
      <c r="N5" s="478">
        <f ca="1">tertiair!N16</f>
        <v>6409.8166929839226</v>
      </c>
      <c r="O5" s="478">
        <f>tertiair!O16</f>
        <v>0</v>
      </c>
      <c r="P5" s="479">
        <f>tertiair!P16</f>
        <v>57.2</v>
      </c>
      <c r="Q5" s="477">
        <f t="shared" ref="Q5:Q13" ca="1" si="0">SUM(B5:P5)</f>
        <v>215211.06540729804</v>
      </c>
    </row>
    <row r="6" spans="1:17">
      <c r="A6" s="477" t="s">
        <v>194</v>
      </c>
      <c r="B6" s="478">
        <f>'openbare verlichting'!B8</f>
        <v>2350.319</v>
      </c>
      <c r="C6" s="478"/>
      <c r="D6" s="478"/>
      <c r="E6" s="478"/>
      <c r="F6" s="478"/>
      <c r="G6" s="478"/>
      <c r="H6" s="478"/>
      <c r="I6" s="478"/>
      <c r="J6" s="478"/>
      <c r="K6" s="478"/>
      <c r="L6" s="478"/>
      <c r="M6" s="478"/>
      <c r="N6" s="478"/>
      <c r="O6" s="478"/>
      <c r="P6" s="479"/>
      <c r="Q6" s="477">
        <f t="shared" si="0"/>
        <v>2350.319</v>
      </c>
    </row>
    <row r="7" spans="1:17">
      <c r="A7" s="477" t="s">
        <v>112</v>
      </c>
      <c r="B7" s="478">
        <f>landbouw!B8</f>
        <v>9660.6239999999998</v>
      </c>
      <c r="C7" s="478">
        <f>landbouw!C8</f>
        <v>0</v>
      </c>
      <c r="D7" s="478">
        <f>landbouw!D8</f>
        <v>5812.7288339999996</v>
      </c>
      <c r="E7" s="478">
        <f>landbouw!E8</f>
        <v>249.1104004522812</v>
      </c>
      <c r="F7" s="478">
        <f>landbouw!F8</f>
        <v>35311.42049646972</v>
      </c>
      <c r="G7" s="478">
        <f>landbouw!G8</f>
        <v>0</v>
      </c>
      <c r="H7" s="478">
        <f>landbouw!H8</f>
        <v>0</v>
      </c>
      <c r="I7" s="478">
        <f>landbouw!I8</f>
        <v>0</v>
      </c>
      <c r="J7" s="478">
        <f>landbouw!J8</f>
        <v>1390.7744739377899</v>
      </c>
      <c r="K7" s="478">
        <f>landbouw!K8</f>
        <v>0</v>
      </c>
      <c r="L7" s="478">
        <f>landbouw!L8</f>
        <v>0</v>
      </c>
      <c r="M7" s="478">
        <f>landbouw!M8</f>
        <v>0</v>
      </c>
      <c r="N7" s="478">
        <f>landbouw!N8</f>
        <v>0</v>
      </c>
      <c r="O7" s="478">
        <f>landbouw!O8</f>
        <v>0</v>
      </c>
      <c r="P7" s="479">
        <f>landbouw!P8</f>
        <v>0</v>
      </c>
      <c r="Q7" s="477">
        <f t="shared" si="0"/>
        <v>52424.658204859785</v>
      </c>
    </row>
    <row r="8" spans="1:17">
      <c r="A8" s="477" t="s">
        <v>638</v>
      </c>
      <c r="B8" s="478">
        <f>industrie!B18</f>
        <v>85688.756000000008</v>
      </c>
      <c r="C8" s="478">
        <f>industrie!C18</f>
        <v>0</v>
      </c>
      <c r="D8" s="478">
        <f>industrie!D18</f>
        <v>92318.034908000001</v>
      </c>
      <c r="E8" s="478">
        <f>industrie!E18</f>
        <v>3866.2034254324408</v>
      </c>
      <c r="F8" s="478">
        <f>industrie!F18</f>
        <v>36108.126844869381</v>
      </c>
      <c r="G8" s="478">
        <f>industrie!G18</f>
        <v>0</v>
      </c>
      <c r="H8" s="478">
        <f>industrie!H18</f>
        <v>0</v>
      </c>
      <c r="I8" s="478">
        <f>industrie!I18</f>
        <v>0</v>
      </c>
      <c r="J8" s="478">
        <f>industrie!J18</f>
        <v>11.446841272124484</v>
      </c>
      <c r="K8" s="478">
        <f>industrie!K18</f>
        <v>0</v>
      </c>
      <c r="L8" s="478">
        <f>industrie!L18</f>
        <v>0</v>
      </c>
      <c r="M8" s="478">
        <f>industrie!M18</f>
        <v>0</v>
      </c>
      <c r="N8" s="478">
        <f>industrie!N18</f>
        <v>9861.914773733637</v>
      </c>
      <c r="O8" s="478">
        <f>industrie!O18</f>
        <v>0</v>
      </c>
      <c r="P8" s="479">
        <f>industrie!P18</f>
        <v>0</v>
      </c>
      <c r="Q8" s="477">
        <f t="shared" si="0"/>
        <v>227854.4827933076</v>
      </c>
    </row>
    <row r="9" spans="1:17" s="483" customFormat="1">
      <c r="A9" s="481" t="s">
        <v>564</v>
      </c>
      <c r="B9" s="482">
        <f>transport!B14</f>
        <v>71.08443966513228</v>
      </c>
      <c r="C9" s="482"/>
      <c r="D9" s="482">
        <f>transport!D14</f>
        <v>169.14543276373553</v>
      </c>
      <c r="E9" s="482">
        <f>transport!E14</f>
        <v>646.68336131840704</v>
      </c>
      <c r="F9" s="482"/>
      <c r="G9" s="482">
        <f>transport!G14</f>
        <v>203661.32300450417</v>
      </c>
      <c r="H9" s="482">
        <f>transport!H14</f>
        <v>45283.374321677082</v>
      </c>
      <c r="I9" s="482"/>
      <c r="J9" s="482"/>
      <c r="K9" s="482"/>
      <c r="L9" s="482"/>
      <c r="M9" s="482">
        <f>transport!M14</f>
        <v>7773.2778447749379</v>
      </c>
      <c r="N9" s="482"/>
      <c r="O9" s="482"/>
      <c r="P9" s="482"/>
      <c r="Q9" s="481">
        <f>SUM(B9:P9)</f>
        <v>257604.88840470347</v>
      </c>
    </row>
    <row r="10" spans="1:17">
      <c r="A10" s="477" t="s">
        <v>554</v>
      </c>
      <c r="B10" s="478">
        <f>transport!B54</f>
        <v>0</v>
      </c>
      <c r="C10" s="478"/>
      <c r="D10" s="478">
        <f>transport!D54</f>
        <v>0</v>
      </c>
      <c r="E10" s="478"/>
      <c r="F10" s="478"/>
      <c r="G10" s="478">
        <f>transport!G54</f>
        <v>5596.8112670663686</v>
      </c>
      <c r="H10" s="478"/>
      <c r="I10" s="478"/>
      <c r="J10" s="478"/>
      <c r="K10" s="478"/>
      <c r="L10" s="478"/>
      <c r="M10" s="478">
        <f>transport!M54</f>
        <v>173.60056441848141</v>
      </c>
      <c r="N10" s="478"/>
      <c r="O10" s="478"/>
      <c r="P10" s="479"/>
      <c r="Q10" s="477">
        <f t="shared" si="0"/>
        <v>5770.4118314848502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258441.03356326523</v>
      </c>
      <c r="C14" s="488">
        <f t="shared" ref="C14:Q14" ca="1" si="1">SUM(C4:C13)</f>
        <v>34.071428571428577</v>
      </c>
      <c r="D14" s="488">
        <f t="shared" ca="1" si="1"/>
        <v>332628.94548762089</v>
      </c>
      <c r="E14" s="488">
        <f t="shared" si="1"/>
        <v>16326.652136317662</v>
      </c>
      <c r="F14" s="488">
        <f t="shared" ca="1" si="1"/>
        <v>182422.28557227127</v>
      </c>
      <c r="G14" s="488">
        <f t="shared" si="1"/>
        <v>209258.13427157054</v>
      </c>
      <c r="H14" s="488">
        <f t="shared" si="1"/>
        <v>45283.374321677082</v>
      </c>
      <c r="I14" s="488">
        <f t="shared" si="1"/>
        <v>0</v>
      </c>
      <c r="J14" s="488">
        <f t="shared" si="1"/>
        <v>1402.2213152099143</v>
      </c>
      <c r="K14" s="488">
        <f t="shared" si="1"/>
        <v>0</v>
      </c>
      <c r="L14" s="488">
        <f t="shared" ca="1" si="1"/>
        <v>0</v>
      </c>
      <c r="M14" s="488">
        <f t="shared" si="1"/>
        <v>7946.8784091934194</v>
      </c>
      <c r="N14" s="488">
        <f t="shared" ca="1" si="1"/>
        <v>45924.731856969331</v>
      </c>
      <c r="O14" s="488">
        <f t="shared" si="1"/>
        <v>451.80333333333334</v>
      </c>
      <c r="P14" s="489">
        <f t="shared" si="1"/>
        <v>2459.6</v>
      </c>
      <c r="Q14" s="489">
        <f t="shared" ca="1" si="1"/>
        <v>1102579.7316960003</v>
      </c>
    </row>
    <row r="16" spans="1:17">
      <c r="A16" s="491" t="s">
        <v>559</v>
      </c>
      <c r="B16" s="841">
        <f ca="1">huishoudens!B10</f>
        <v>0.20037648001686012</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13256.990898544744</v>
      </c>
      <c r="C21" s="478">
        <f t="shared" ref="C21:C28" ca="1" si="3">C4*$C$16</f>
        <v>0</v>
      </c>
      <c r="D21" s="478">
        <f t="shared" ref="D21:D30" si="4">D4*$D$16</f>
        <v>29199.189113512006</v>
      </c>
      <c r="E21" s="478">
        <f t="shared" ref="E21:E30" si="5">E4*$E$16</f>
        <v>2226.4545181510798</v>
      </c>
      <c r="F21" s="478">
        <f t="shared" ref="F21:F28" si="6">F4*$F$16</f>
        <v>23586.159857169569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68268.794387377391</v>
      </c>
    </row>
    <row r="22" spans="1:17">
      <c r="A22" s="477" t="s">
        <v>156</v>
      </c>
      <c r="B22" s="478">
        <f t="shared" ca="1" si="2"/>
        <v>18937.54826465073</v>
      </c>
      <c r="C22" s="478">
        <f t="shared" ca="1" si="3"/>
        <v>8.0969747899159685</v>
      </c>
      <c r="D22" s="478">
        <f t="shared" ca="1" si="4"/>
        <v>18135.276221685148</v>
      </c>
      <c r="E22" s="478">
        <f t="shared" si="5"/>
        <v>398.72215529791919</v>
      </c>
      <c r="F22" s="478">
        <f t="shared" ca="1" si="6"/>
        <v>6051.5712504893236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43531.214866913033</v>
      </c>
    </row>
    <row r="23" spans="1:17">
      <c r="A23" s="477" t="s">
        <v>194</v>
      </c>
      <c r="B23" s="478">
        <f t="shared" ca="1" si="2"/>
        <v>470.94864813674667</v>
      </c>
      <c r="C23" s="478"/>
      <c r="D23" s="478"/>
      <c r="E23" s="478"/>
      <c r="F23" s="478"/>
      <c r="G23" s="478"/>
      <c r="H23" s="478"/>
      <c r="I23" s="478"/>
      <c r="J23" s="478"/>
      <c r="K23" s="478"/>
      <c r="L23" s="478"/>
      <c r="M23" s="478"/>
      <c r="N23" s="478"/>
      <c r="O23" s="478"/>
      <c r="P23" s="479"/>
      <c r="Q23" s="477">
        <f t="shared" ca="1" si="17"/>
        <v>470.94864813674667</v>
      </c>
    </row>
    <row r="24" spans="1:17">
      <c r="A24" s="477" t="s">
        <v>112</v>
      </c>
      <c r="B24" s="478">
        <f t="shared" ca="1" si="2"/>
        <v>1935.7618318863992</v>
      </c>
      <c r="C24" s="478">
        <f t="shared" ca="1" si="3"/>
        <v>0</v>
      </c>
      <c r="D24" s="478">
        <f t="shared" si="4"/>
        <v>1174.171224468</v>
      </c>
      <c r="E24" s="478">
        <f t="shared" si="5"/>
        <v>56.548060902667835</v>
      </c>
      <c r="F24" s="478">
        <f t="shared" si="6"/>
        <v>9428.1492725574153</v>
      </c>
      <c r="G24" s="478">
        <f t="shared" si="7"/>
        <v>0</v>
      </c>
      <c r="H24" s="478">
        <f t="shared" si="8"/>
        <v>0</v>
      </c>
      <c r="I24" s="478">
        <f t="shared" si="9"/>
        <v>0</v>
      </c>
      <c r="J24" s="478">
        <f t="shared" si="10"/>
        <v>492.33416377397759</v>
      </c>
      <c r="K24" s="478">
        <f t="shared" si="11"/>
        <v>0</v>
      </c>
      <c r="L24" s="478">
        <f t="shared" si="12"/>
        <v>0</v>
      </c>
      <c r="M24" s="478">
        <f t="shared" si="13"/>
        <v>0</v>
      </c>
      <c r="N24" s="478">
        <f t="shared" si="14"/>
        <v>0</v>
      </c>
      <c r="O24" s="478">
        <f t="shared" si="15"/>
        <v>0</v>
      </c>
      <c r="P24" s="479">
        <f t="shared" si="16"/>
        <v>0</v>
      </c>
      <c r="Q24" s="477">
        <f t="shared" ca="1" si="17"/>
        <v>13086.964553588459</v>
      </c>
    </row>
    <row r="25" spans="1:17">
      <c r="A25" s="477" t="s">
        <v>638</v>
      </c>
      <c r="B25" s="478">
        <f t="shared" ca="1" si="2"/>
        <v>17170.011304303604</v>
      </c>
      <c r="C25" s="478">
        <f t="shared" ca="1" si="3"/>
        <v>0</v>
      </c>
      <c r="D25" s="478">
        <f t="shared" si="4"/>
        <v>18648.243051416001</v>
      </c>
      <c r="E25" s="478">
        <f t="shared" si="5"/>
        <v>877.62817757316407</v>
      </c>
      <c r="F25" s="478">
        <f t="shared" si="6"/>
        <v>9640.8698675801261</v>
      </c>
      <c r="G25" s="478">
        <f t="shared" si="7"/>
        <v>0</v>
      </c>
      <c r="H25" s="478">
        <f t="shared" si="8"/>
        <v>0</v>
      </c>
      <c r="I25" s="478">
        <f t="shared" si="9"/>
        <v>0</v>
      </c>
      <c r="J25" s="478">
        <f t="shared" si="10"/>
        <v>4.0521818103320673</v>
      </c>
      <c r="K25" s="478">
        <f t="shared" si="11"/>
        <v>0</v>
      </c>
      <c r="L25" s="478">
        <f t="shared" si="12"/>
        <v>0</v>
      </c>
      <c r="M25" s="478">
        <f t="shared" si="13"/>
        <v>0</v>
      </c>
      <c r="N25" s="478">
        <f t="shared" si="14"/>
        <v>0</v>
      </c>
      <c r="O25" s="478">
        <f t="shared" si="15"/>
        <v>0</v>
      </c>
      <c r="P25" s="479">
        <f t="shared" si="16"/>
        <v>0</v>
      </c>
      <c r="Q25" s="477">
        <f t="shared" ca="1" si="17"/>
        <v>46340.804582683224</v>
      </c>
    </row>
    <row r="26" spans="1:17" s="483" customFormat="1">
      <c r="A26" s="481" t="s">
        <v>564</v>
      </c>
      <c r="B26" s="835">
        <f t="shared" ca="1" si="2"/>
        <v>14.243649804070078</v>
      </c>
      <c r="C26" s="482"/>
      <c r="D26" s="482">
        <f t="shared" si="4"/>
        <v>34.167377418274576</v>
      </c>
      <c r="E26" s="482">
        <f t="shared" si="5"/>
        <v>146.79712301927842</v>
      </c>
      <c r="F26" s="482"/>
      <c r="G26" s="482">
        <f t="shared" si="7"/>
        <v>54377.573242202619</v>
      </c>
      <c r="H26" s="482">
        <f t="shared" si="8"/>
        <v>11275.560206097593</v>
      </c>
      <c r="I26" s="482"/>
      <c r="J26" s="482"/>
      <c r="K26" s="482"/>
      <c r="L26" s="482"/>
      <c r="M26" s="482">
        <f t="shared" si="13"/>
        <v>0</v>
      </c>
      <c r="N26" s="482"/>
      <c r="O26" s="482"/>
      <c r="P26" s="493"/>
      <c r="Q26" s="481">
        <f t="shared" ca="1" si="17"/>
        <v>65848.34159854184</v>
      </c>
    </row>
    <row r="27" spans="1:17">
      <c r="A27" s="477" t="s">
        <v>554</v>
      </c>
      <c r="B27" s="478">
        <f t="shared" ca="1" si="2"/>
        <v>0</v>
      </c>
      <c r="C27" s="478"/>
      <c r="D27" s="482">
        <f t="shared" si="4"/>
        <v>0</v>
      </c>
      <c r="E27" s="478"/>
      <c r="F27" s="478"/>
      <c r="G27" s="478">
        <f t="shared" si="7"/>
        <v>1494.3486083067205</v>
      </c>
      <c r="H27" s="478"/>
      <c r="I27" s="478"/>
      <c r="J27" s="478"/>
      <c r="K27" s="478"/>
      <c r="L27" s="478"/>
      <c r="M27" s="478">
        <f t="shared" si="13"/>
        <v>0</v>
      </c>
      <c r="N27" s="478"/>
      <c r="O27" s="478"/>
      <c r="P27" s="479"/>
      <c r="Q27" s="477">
        <f t="shared" ca="1" si="17"/>
        <v>1494.3486083067205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51785.50459732629</v>
      </c>
      <c r="C31" s="488">
        <f t="shared" ca="1" si="18"/>
        <v>8.0969747899159685</v>
      </c>
      <c r="D31" s="488">
        <f t="shared" ca="1" si="18"/>
        <v>67191.046988499424</v>
      </c>
      <c r="E31" s="488">
        <f t="shared" si="18"/>
        <v>3706.1500349441089</v>
      </c>
      <c r="F31" s="488">
        <f t="shared" ca="1" si="18"/>
        <v>48706.750247796437</v>
      </c>
      <c r="G31" s="488">
        <f t="shared" si="18"/>
        <v>55871.921850509338</v>
      </c>
      <c r="H31" s="488">
        <f t="shared" si="18"/>
        <v>11275.560206097593</v>
      </c>
      <c r="I31" s="488">
        <f t="shared" si="18"/>
        <v>0</v>
      </c>
      <c r="J31" s="488">
        <f t="shared" si="18"/>
        <v>496.38634558430965</v>
      </c>
      <c r="K31" s="488">
        <f t="shared" si="18"/>
        <v>0</v>
      </c>
      <c r="L31" s="488">
        <f t="shared" ca="1" si="18"/>
        <v>0</v>
      </c>
      <c r="M31" s="488">
        <f t="shared" si="18"/>
        <v>0</v>
      </c>
      <c r="N31" s="488">
        <f t="shared" ca="1" si="18"/>
        <v>0</v>
      </c>
      <c r="O31" s="488">
        <f t="shared" si="18"/>
        <v>0</v>
      </c>
      <c r="P31" s="489">
        <f t="shared" si="18"/>
        <v>0</v>
      </c>
      <c r="Q31" s="489">
        <f t="shared" ca="1" si="18"/>
        <v>239041.4172455474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0.20037648001686012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0.20037648001686012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0.20037648001686012</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71053</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17341</v>
      </c>
      <c r="C9" s="342">
        <v>18529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6247.09</v>
      </c>
    </row>
    <row r="15" spans="1:6">
      <c r="A15" s="348" t="s">
        <v>184</v>
      </c>
      <c r="B15" s="334">
        <v>8</v>
      </c>
    </row>
    <row r="16" spans="1:6">
      <c r="A16" s="348" t="s">
        <v>6</v>
      </c>
      <c r="B16" s="334">
        <v>176</v>
      </c>
    </row>
    <row r="17" spans="1:6">
      <c r="A17" s="348" t="s">
        <v>7</v>
      </c>
      <c r="B17" s="334">
        <v>1073</v>
      </c>
    </row>
    <row r="18" spans="1:6">
      <c r="A18" s="348" t="s">
        <v>8</v>
      </c>
      <c r="B18" s="334">
        <v>1025</v>
      </c>
    </row>
    <row r="19" spans="1:6">
      <c r="A19" s="348" t="s">
        <v>9</v>
      </c>
      <c r="B19" s="334">
        <v>733</v>
      </c>
    </row>
    <row r="20" spans="1:6">
      <c r="A20" s="348" t="s">
        <v>10</v>
      </c>
      <c r="B20" s="334">
        <v>491</v>
      </c>
    </row>
    <row r="21" spans="1:6">
      <c r="A21" s="348" t="s">
        <v>11</v>
      </c>
      <c r="B21" s="334">
        <v>1813</v>
      </c>
    </row>
    <row r="22" spans="1:6">
      <c r="A22" s="348" t="s">
        <v>12</v>
      </c>
      <c r="B22" s="334">
        <v>7314</v>
      </c>
    </row>
    <row r="23" spans="1:6">
      <c r="A23" s="348" t="s">
        <v>13</v>
      </c>
      <c r="B23" s="334">
        <v>19</v>
      </c>
    </row>
    <row r="24" spans="1:6">
      <c r="A24" s="348" t="s">
        <v>14</v>
      </c>
      <c r="B24" s="334">
        <v>4</v>
      </c>
    </row>
    <row r="25" spans="1:6">
      <c r="A25" s="348" t="s">
        <v>15</v>
      </c>
      <c r="B25" s="334">
        <v>230</v>
      </c>
    </row>
    <row r="26" spans="1:6">
      <c r="A26" s="348" t="s">
        <v>16</v>
      </c>
      <c r="B26" s="334">
        <v>207</v>
      </c>
    </row>
    <row r="27" spans="1:6">
      <c r="A27" s="348" t="s">
        <v>17</v>
      </c>
      <c r="B27" s="334">
        <v>8</v>
      </c>
    </row>
    <row r="28" spans="1:6" s="356" customFormat="1">
      <c r="A28" s="355" t="s">
        <v>18</v>
      </c>
      <c r="B28" s="355">
        <v>155301</v>
      </c>
    </row>
    <row r="29" spans="1:6">
      <c r="A29" s="355" t="s">
        <v>849</v>
      </c>
      <c r="B29" s="355">
        <v>154</v>
      </c>
      <c r="C29" s="356"/>
      <c r="D29" s="356"/>
      <c r="E29" s="356"/>
      <c r="F29" s="356"/>
    </row>
    <row r="30" spans="1:6">
      <c r="A30" s="355" t="s">
        <v>850</v>
      </c>
      <c r="B30" s="341">
        <v>22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342242</v>
      </c>
    </row>
    <row r="36" spans="1:6">
      <c r="A36" s="348" t="s">
        <v>25</v>
      </c>
      <c r="B36" s="348" t="s">
        <v>27</v>
      </c>
      <c r="C36" s="334">
        <v>0</v>
      </c>
      <c r="D36" s="334">
        <v>0</v>
      </c>
      <c r="E36" s="334">
        <v>15</v>
      </c>
      <c r="F36" s="334">
        <v>44751</v>
      </c>
    </row>
    <row r="37" spans="1:6">
      <c r="A37" s="348" t="s">
        <v>25</v>
      </c>
      <c r="B37" s="348" t="s">
        <v>28</v>
      </c>
      <c r="C37" s="334">
        <v>0</v>
      </c>
      <c r="D37" s="334">
        <v>0</v>
      </c>
      <c r="E37" s="334">
        <v>0</v>
      </c>
      <c r="F37" s="334">
        <v>0</v>
      </c>
    </row>
    <row r="38" spans="1:6">
      <c r="A38" s="348" t="s">
        <v>25</v>
      </c>
      <c r="B38" s="348" t="s">
        <v>29</v>
      </c>
      <c r="C38" s="334">
        <v>0</v>
      </c>
      <c r="D38" s="334">
        <v>94315</v>
      </c>
      <c r="E38" s="334">
        <v>0</v>
      </c>
      <c r="F38" s="334">
        <v>0</v>
      </c>
    </row>
    <row r="39" spans="1:6">
      <c r="A39" s="348" t="s">
        <v>30</v>
      </c>
      <c r="B39" s="348" t="s">
        <v>31</v>
      </c>
      <c r="C39" s="334">
        <v>10723</v>
      </c>
      <c r="D39" s="334">
        <v>160255478</v>
      </c>
      <c r="E39" s="334">
        <v>17521</v>
      </c>
      <c r="F39" s="334">
        <v>59321864</v>
      </c>
    </row>
    <row r="40" spans="1:6">
      <c r="A40" s="348" t="s">
        <v>30</v>
      </c>
      <c r="B40" s="348" t="s">
        <v>29</v>
      </c>
      <c r="C40" s="334">
        <v>0</v>
      </c>
      <c r="D40" s="334">
        <v>0</v>
      </c>
      <c r="E40" s="334">
        <v>0</v>
      </c>
      <c r="F40" s="334">
        <v>5451</v>
      </c>
    </row>
    <row r="41" spans="1:6">
      <c r="A41" s="348" t="s">
        <v>32</v>
      </c>
      <c r="B41" s="348" t="s">
        <v>33</v>
      </c>
      <c r="C41" s="334">
        <v>120</v>
      </c>
      <c r="D41" s="334">
        <v>3266821</v>
      </c>
      <c r="E41" s="334">
        <v>280</v>
      </c>
      <c r="F41" s="334">
        <v>4317196</v>
      </c>
    </row>
    <row r="42" spans="1:6">
      <c r="A42" s="348" t="s">
        <v>32</v>
      </c>
      <c r="B42" s="348" t="s">
        <v>34</v>
      </c>
      <c r="C42" s="334">
        <v>0</v>
      </c>
      <c r="D42" s="334">
        <v>0</v>
      </c>
      <c r="E42" s="334">
        <v>4</v>
      </c>
      <c r="F42" s="334">
        <v>61591</v>
      </c>
    </row>
    <row r="43" spans="1:6">
      <c r="A43" s="348" t="s">
        <v>32</v>
      </c>
      <c r="B43" s="348" t="s">
        <v>35</v>
      </c>
      <c r="C43" s="334">
        <v>0</v>
      </c>
      <c r="D43" s="334">
        <v>0</v>
      </c>
      <c r="E43" s="334">
        <v>0</v>
      </c>
      <c r="F43" s="334">
        <v>0</v>
      </c>
    </row>
    <row r="44" spans="1:6">
      <c r="A44" s="348" t="s">
        <v>32</v>
      </c>
      <c r="B44" s="348" t="s">
        <v>36</v>
      </c>
      <c r="C44" s="334">
        <v>18</v>
      </c>
      <c r="D44" s="334">
        <v>48449200</v>
      </c>
      <c r="E44" s="334">
        <v>34</v>
      </c>
      <c r="F44" s="334">
        <v>67077221</v>
      </c>
    </row>
    <row r="45" spans="1:6">
      <c r="A45" s="348" t="s">
        <v>32</v>
      </c>
      <c r="B45" s="348" t="s">
        <v>37</v>
      </c>
      <c r="C45" s="334">
        <v>4</v>
      </c>
      <c r="D45" s="334">
        <v>22116</v>
      </c>
      <c r="E45" s="334">
        <v>12</v>
      </c>
      <c r="F45" s="334">
        <v>918448</v>
      </c>
    </row>
    <row r="46" spans="1:6">
      <c r="A46" s="348" t="s">
        <v>32</v>
      </c>
      <c r="B46" s="348" t="s">
        <v>38</v>
      </c>
      <c r="C46" s="334">
        <v>0</v>
      </c>
      <c r="D46" s="334">
        <v>0</v>
      </c>
      <c r="E46" s="334">
        <v>0</v>
      </c>
      <c r="F46" s="334">
        <v>0</v>
      </c>
    </row>
    <row r="47" spans="1:6">
      <c r="A47" s="348" t="s">
        <v>32</v>
      </c>
      <c r="B47" s="348" t="s">
        <v>39</v>
      </c>
      <c r="C47" s="334">
        <v>8</v>
      </c>
      <c r="D47" s="334">
        <v>249175</v>
      </c>
      <c r="E47" s="334">
        <v>10</v>
      </c>
      <c r="F47" s="334">
        <v>154483</v>
      </c>
    </row>
    <row r="48" spans="1:6">
      <c r="A48" s="348" t="s">
        <v>32</v>
      </c>
      <c r="B48" s="348" t="s">
        <v>29</v>
      </c>
      <c r="C48" s="334">
        <v>3</v>
      </c>
      <c r="D48" s="334">
        <v>85728</v>
      </c>
      <c r="E48" s="334">
        <v>0</v>
      </c>
      <c r="F48" s="334">
        <v>4314</v>
      </c>
    </row>
    <row r="49" spans="1:6">
      <c r="A49" s="348" t="s">
        <v>32</v>
      </c>
      <c r="B49" s="348" t="s">
        <v>40</v>
      </c>
      <c r="C49" s="334">
        <v>7</v>
      </c>
      <c r="D49" s="334">
        <v>192586</v>
      </c>
      <c r="E49" s="334">
        <v>7</v>
      </c>
      <c r="F49" s="334">
        <v>179865</v>
      </c>
    </row>
    <row r="50" spans="1:6">
      <c r="A50" s="348" t="s">
        <v>32</v>
      </c>
      <c r="B50" s="348" t="s">
        <v>41</v>
      </c>
      <c r="C50" s="334">
        <v>30</v>
      </c>
      <c r="D50" s="334">
        <v>50082528</v>
      </c>
      <c r="E50" s="334">
        <v>38</v>
      </c>
      <c r="F50" s="334">
        <v>12975638</v>
      </c>
    </row>
    <row r="51" spans="1:6">
      <c r="A51" s="348" t="s">
        <v>42</v>
      </c>
      <c r="B51" s="348" t="s">
        <v>43</v>
      </c>
      <c r="C51" s="334">
        <v>39</v>
      </c>
      <c r="D51" s="334">
        <v>6444267</v>
      </c>
      <c r="E51" s="334">
        <v>241</v>
      </c>
      <c r="F51" s="334">
        <v>9660624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187</v>
      </c>
      <c r="F54" s="334">
        <v>2350319</v>
      </c>
    </row>
    <row r="55" spans="1:6">
      <c r="A55" s="348" t="s">
        <v>46</v>
      </c>
      <c r="B55" s="348" t="s">
        <v>29</v>
      </c>
      <c r="C55" s="334">
        <v>0</v>
      </c>
      <c r="D55" s="334">
        <v>0</v>
      </c>
      <c r="E55" s="334">
        <v>0</v>
      </c>
      <c r="F55" s="334">
        <v>0</v>
      </c>
    </row>
    <row r="56" spans="1:6">
      <c r="A56" s="348" t="s">
        <v>48</v>
      </c>
      <c r="B56" s="348" t="s">
        <v>29</v>
      </c>
      <c r="C56" s="334">
        <v>174</v>
      </c>
      <c r="D56" s="334">
        <v>3870111</v>
      </c>
      <c r="E56" s="334">
        <v>423</v>
      </c>
      <c r="F56" s="334">
        <v>2599115</v>
      </c>
    </row>
    <row r="57" spans="1:6">
      <c r="A57" s="348" t="s">
        <v>49</v>
      </c>
      <c r="B57" s="348" t="s">
        <v>50</v>
      </c>
      <c r="C57" s="334">
        <v>131</v>
      </c>
      <c r="D57" s="334">
        <v>7078739</v>
      </c>
      <c r="E57" s="334">
        <v>253</v>
      </c>
      <c r="F57" s="334">
        <v>9668433</v>
      </c>
    </row>
    <row r="58" spans="1:6">
      <c r="A58" s="348" t="s">
        <v>49</v>
      </c>
      <c r="B58" s="348" t="s">
        <v>51</v>
      </c>
      <c r="C58" s="334">
        <v>91</v>
      </c>
      <c r="D58" s="334">
        <v>21538739</v>
      </c>
      <c r="E58" s="334">
        <v>134</v>
      </c>
      <c r="F58" s="334">
        <v>10904678</v>
      </c>
    </row>
    <row r="59" spans="1:6">
      <c r="A59" s="348" t="s">
        <v>49</v>
      </c>
      <c r="B59" s="348" t="s">
        <v>52</v>
      </c>
      <c r="C59" s="334">
        <v>397</v>
      </c>
      <c r="D59" s="334">
        <v>20849773</v>
      </c>
      <c r="E59" s="334">
        <v>709</v>
      </c>
      <c r="F59" s="334">
        <v>35854152</v>
      </c>
    </row>
    <row r="60" spans="1:6">
      <c r="A60" s="348" t="s">
        <v>49</v>
      </c>
      <c r="B60" s="348" t="s">
        <v>53</v>
      </c>
      <c r="C60" s="334">
        <v>150</v>
      </c>
      <c r="D60" s="334">
        <v>8882137</v>
      </c>
      <c r="E60" s="334">
        <v>235</v>
      </c>
      <c r="F60" s="334">
        <v>7012931</v>
      </c>
    </row>
    <row r="61" spans="1:6">
      <c r="A61" s="348" t="s">
        <v>49</v>
      </c>
      <c r="B61" s="348" t="s">
        <v>54</v>
      </c>
      <c r="C61" s="334">
        <v>318</v>
      </c>
      <c r="D61" s="334">
        <v>33771442</v>
      </c>
      <c r="E61" s="334">
        <v>895</v>
      </c>
      <c r="F61" s="334">
        <v>28512462</v>
      </c>
    </row>
    <row r="62" spans="1:6">
      <c r="A62" s="348" t="s">
        <v>49</v>
      </c>
      <c r="B62" s="348" t="s">
        <v>55</v>
      </c>
      <c r="C62" s="334">
        <v>46</v>
      </c>
      <c r="D62" s="334">
        <v>7487527</v>
      </c>
      <c r="E62" s="334">
        <v>54</v>
      </c>
      <c r="F62" s="334">
        <v>2038330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239311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13</v>
      </c>
      <c r="D68" s="334">
        <v>334170</v>
      </c>
      <c r="E68" s="334">
        <v>37</v>
      </c>
      <c r="F68" s="334">
        <v>1412004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225593919</v>
      </c>
      <c r="E73" s="476">
        <v>201548004.62065986</v>
      </c>
    </row>
    <row r="74" spans="1:6">
      <c r="A74" s="348" t="s">
        <v>64</v>
      </c>
      <c r="B74" s="348" t="s">
        <v>667</v>
      </c>
      <c r="C74" s="1271" t="s">
        <v>669</v>
      </c>
      <c r="D74" s="476">
        <v>18863545.025297511</v>
      </c>
      <c r="E74" s="476">
        <v>17534596.83379944</v>
      </c>
    </row>
    <row r="75" spans="1:6">
      <c r="A75" s="348" t="s">
        <v>65</v>
      </c>
      <c r="B75" s="348" t="s">
        <v>666</v>
      </c>
      <c r="C75" s="1271" t="s">
        <v>670</v>
      </c>
      <c r="D75" s="476">
        <v>77751147</v>
      </c>
      <c r="E75" s="476">
        <v>73746849.095485121</v>
      </c>
    </row>
    <row r="76" spans="1:6">
      <c r="A76" s="348" t="s">
        <v>65</v>
      </c>
      <c r="B76" s="348" t="s">
        <v>667</v>
      </c>
      <c r="C76" s="1271" t="s">
        <v>671</v>
      </c>
      <c r="D76" s="476">
        <v>990252.02529751253</v>
      </c>
      <c r="E76" s="476">
        <v>822502.10102961864</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1549853.9494049749</v>
      </c>
      <c r="C83" s="476">
        <v>1549853.9494049749</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6833.0991236000846</v>
      </c>
    </row>
    <row r="92" spans="1:6">
      <c r="A92" s="341" t="s">
        <v>69</v>
      </c>
      <c r="B92" s="342">
        <v>16791.18075200294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6223</v>
      </c>
    </row>
    <row r="98" spans="1:6">
      <c r="A98" s="348" t="s">
        <v>72</v>
      </c>
      <c r="B98" s="334">
        <v>8</v>
      </c>
    </row>
    <row r="99" spans="1:6">
      <c r="A99" s="348" t="s">
        <v>73</v>
      </c>
      <c r="B99" s="334">
        <v>93</v>
      </c>
    </row>
    <row r="100" spans="1:6">
      <c r="A100" s="348" t="s">
        <v>74</v>
      </c>
      <c r="B100" s="334">
        <v>422</v>
      </c>
    </row>
    <row r="101" spans="1:6">
      <c r="A101" s="348" t="s">
        <v>75</v>
      </c>
      <c r="B101" s="334">
        <v>99</v>
      </c>
    </row>
    <row r="102" spans="1:6">
      <c r="A102" s="348" t="s">
        <v>76</v>
      </c>
      <c r="B102" s="334">
        <v>212</v>
      </c>
    </row>
    <row r="103" spans="1:6">
      <c r="A103" s="348" t="s">
        <v>77</v>
      </c>
      <c r="B103" s="334">
        <v>294</v>
      </c>
    </row>
    <row r="104" spans="1:6">
      <c r="A104" s="348" t="s">
        <v>78</v>
      </c>
      <c r="B104" s="334">
        <v>7679</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56</v>
      </c>
      <c r="C123" s="334">
        <v>37</v>
      </c>
    </row>
    <row r="124" spans="1:6">
      <c r="A124" s="341" t="s">
        <v>89</v>
      </c>
      <c r="B124" s="334">
        <v>4</v>
      </c>
      <c r="C124" s="334">
        <v>3</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249</v>
      </c>
    </row>
    <row r="130" spans="1:6">
      <c r="A130" s="348" t="s">
        <v>295</v>
      </c>
      <c r="B130" s="334">
        <v>0</v>
      </c>
    </row>
    <row r="131" spans="1:6">
      <c r="A131" s="348" t="s">
        <v>296</v>
      </c>
      <c r="B131" s="334">
        <v>3</v>
      </c>
    </row>
    <row r="132" spans="1:6">
      <c r="A132" s="341" t="s">
        <v>297</v>
      </c>
      <c r="B132" s="342">
        <v>66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258441.03356326523</v>
      </c>
      <c r="C3" s="43" t="s">
        <v>170</v>
      </c>
      <c r="D3" s="43"/>
      <c r="E3" s="154"/>
      <c r="F3" s="43"/>
      <c r="G3" s="43"/>
      <c r="H3" s="43"/>
      <c r="I3" s="43"/>
      <c r="J3" s="43"/>
      <c r="K3" s="96"/>
    </row>
    <row r="4" spans="1:11">
      <c r="A4" s="383" t="s">
        <v>171</v>
      </c>
      <c r="B4" s="49">
        <f>IF(ISERROR('SEAP template'!B69),0,'SEAP template'!B69)</f>
        <v>24143.129875603023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5.6678823529411773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0.20037648001686012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8.0969747899159685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2350.319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2350.319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0.20037648001686012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470.94864813674667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59327.315000000002</v>
      </c>
      <c r="C5" s="17">
        <f>IF(ISERROR('Eigen informatie GS &amp; warmtenet'!B57),0,'Eigen informatie GS &amp; warmtenet'!B57)</f>
        <v>0</v>
      </c>
      <c r="D5" s="30">
        <f>(SUM(HH_hh_gas_kWh,HH_rest_gas_kWh)/1000)*0.902</f>
        <v>144550.44115600002</v>
      </c>
      <c r="E5" s="17">
        <f>B46*B57</f>
        <v>9808.1696834849336</v>
      </c>
      <c r="F5" s="17">
        <f>B51*B62</f>
        <v>88337.677367676282</v>
      </c>
      <c r="G5" s="18"/>
      <c r="H5" s="17"/>
      <c r="I5" s="17"/>
      <c r="J5" s="17">
        <f>B50*B61+C50*C61</f>
        <v>0</v>
      </c>
      <c r="K5" s="17"/>
      <c r="L5" s="17"/>
      <c r="M5" s="17"/>
      <c r="N5" s="17">
        <f>B48*B59+C48*C59</f>
        <v>29653.000390251771</v>
      </c>
      <c r="O5" s="17">
        <f>B69*B70*B71</f>
        <v>451.80333333333334</v>
      </c>
      <c r="P5" s="17">
        <f>B77*B78*B79/1000-B77*B78*B79/1000/B80</f>
        <v>2402.4</v>
      </c>
    </row>
    <row r="6" spans="1:16">
      <c r="A6" s="16" t="s">
        <v>624</v>
      </c>
      <c r="B6" s="843">
        <f>kWh_PV_kleiner_dan_10kW</f>
        <v>6833.0991236000846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66160.414123600087</v>
      </c>
      <c r="C8" s="21">
        <f>C5</f>
        <v>0</v>
      </c>
      <c r="D8" s="21">
        <f>D5</f>
        <v>144550.44115600002</v>
      </c>
      <c r="E8" s="21">
        <f>E5</f>
        <v>9808.1696834849336</v>
      </c>
      <c r="F8" s="21">
        <f>F5</f>
        <v>88337.677367676282</v>
      </c>
      <c r="G8" s="21"/>
      <c r="H8" s="21"/>
      <c r="I8" s="21"/>
      <c r="J8" s="21">
        <f>J5</f>
        <v>0</v>
      </c>
      <c r="K8" s="21"/>
      <c r="L8" s="21">
        <f>L5</f>
        <v>0</v>
      </c>
      <c r="M8" s="21">
        <f>M5</f>
        <v>0</v>
      </c>
      <c r="N8" s="21">
        <f>N5</f>
        <v>29653.000390251771</v>
      </c>
      <c r="O8" s="21">
        <f>O5</f>
        <v>451.80333333333334</v>
      </c>
      <c r="P8" s="21">
        <f>P5</f>
        <v>2402.4</v>
      </c>
    </row>
    <row r="9" spans="1:16">
      <c r="B9" s="19"/>
      <c r="C9" s="19"/>
      <c r="D9" s="258"/>
      <c r="E9" s="19"/>
      <c r="F9" s="19"/>
      <c r="G9" s="19"/>
      <c r="H9" s="19"/>
      <c r="I9" s="19"/>
      <c r="J9" s="19"/>
      <c r="K9" s="19"/>
      <c r="L9" s="19"/>
      <c r="M9" s="19"/>
      <c r="N9" s="19"/>
      <c r="O9" s="19"/>
      <c r="P9" s="19"/>
    </row>
    <row r="10" spans="1:16">
      <c r="A10" s="24" t="s">
        <v>214</v>
      </c>
      <c r="B10" s="25">
        <f ca="1">'EF ele_warmte'!B12</f>
        <v>0.20037648001686012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13256.990898544744</v>
      </c>
      <c r="C12" s="23">
        <f ca="1">C10*C8</f>
        <v>0</v>
      </c>
      <c r="D12" s="23">
        <f>D8*D10</f>
        <v>29199.189113512006</v>
      </c>
      <c r="E12" s="23">
        <f>E10*E8</f>
        <v>2226.4545181510798</v>
      </c>
      <c r="F12" s="23">
        <f>F10*F8</f>
        <v>23586.159857169569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6223</v>
      </c>
      <c r="C18" s="166" t="s">
        <v>111</v>
      </c>
      <c r="D18" s="228"/>
      <c r="E18" s="15"/>
    </row>
    <row r="19" spans="1:7">
      <c r="A19" s="171" t="s">
        <v>72</v>
      </c>
      <c r="B19" s="37">
        <f>aantalw2001_ander</f>
        <v>8</v>
      </c>
      <c r="C19" s="166" t="s">
        <v>111</v>
      </c>
      <c r="D19" s="229"/>
      <c r="E19" s="15"/>
    </row>
    <row r="20" spans="1:7">
      <c r="A20" s="171" t="s">
        <v>73</v>
      </c>
      <c r="B20" s="37">
        <f>aantalw2001_propaan</f>
        <v>93</v>
      </c>
      <c r="C20" s="167">
        <f>IF(ISERROR(B20/SUM($B$20,$B$21,$B$22)*100),0,B20/SUM($B$20,$B$21,$B$22)*100)</f>
        <v>15.146579804560261</v>
      </c>
      <c r="D20" s="229"/>
      <c r="E20" s="15"/>
    </row>
    <row r="21" spans="1:7">
      <c r="A21" s="171" t="s">
        <v>74</v>
      </c>
      <c r="B21" s="37">
        <f>aantalw2001_elektriciteit</f>
        <v>422</v>
      </c>
      <c r="C21" s="167">
        <f>IF(ISERROR(B21/SUM($B$20,$B$21,$B$22)*100),0,B21/SUM($B$20,$B$21,$B$22)*100)</f>
        <v>68.729641693811075</v>
      </c>
      <c r="D21" s="229"/>
      <c r="E21" s="15"/>
    </row>
    <row r="22" spans="1:7">
      <c r="A22" s="171" t="s">
        <v>75</v>
      </c>
      <c r="B22" s="37">
        <f>aantalw2001_hout</f>
        <v>99</v>
      </c>
      <c r="C22" s="167">
        <f>IF(ISERROR(B22/SUM($B$20,$B$21,$B$22)*100),0,B22/SUM($B$20,$B$21,$B$22)*100)</f>
        <v>16.123778501628664</v>
      </c>
      <c r="D22" s="229"/>
      <c r="E22" s="15"/>
    </row>
    <row r="23" spans="1:7">
      <c r="A23" s="171" t="s">
        <v>76</v>
      </c>
      <c r="B23" s="37">
        <f>aantalw2001_niet_gespec</f>
        <v>212</v>
      </c>
      <c r="C23" s="166" t="s">
        <v>111</v>
      </c>
      <c r="D23" s="228"/>
      <c r="E23" s="15"/>
    </row>
    <row r="24" spans="1:7">
      <c r="A24" s="171" t="s">
        <v>77</v>
      </c>
      <c r="B24" s="37">
        <f>aantalw2001_steenkool</f>
        <v>294</v>
      </c>
      <c r="C24" s="166" t="s">
        <v>111</v>
      </c>
      <c r="D24" s="229"/>
      <c r="E24" s="15"/>
    </row>
    <row r="25" spans="1:7">
      <c r="A25" s="171" t="s">
        <v>78</v>
      </c>
      <c r="B25" s="37">
        <f>aantalw2001_stookolie</f>
        <v>7679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17341</v>
      </c>
      <c r="C28" s="36"/>
      <c r="D28" s="228"/>
    </row>
    <row r="29" spans="1:7" s="15" customFormat="1">
      <c r="A29" s="230" t="s">
        <v>699</v>
      </c>
      <c r="B29" s="37">
        <f>SUM(HH_hh_gas_aantal,HH_rest_gas_aantal)</f>
        <v>10723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10723</v>
      </c>
      <c r="C32" s="167">
        <f>IF(ISERROR(B32/SUM($B$32,$B$34,$B$35,$B$36,$B$38,$B$39)*100),0,B32/SUM($B$32,$B$34,$B$35,$B$36,$B$38,$B$39)*100)</f>
        <v>62.28870171362184</v>
      </c>
      <c r="D32" s="233"/>
      <c r="G32" s="15"/>
    </row>
    <row r="33" spans="1:7">
      <c r="A33" s="171" t="s">
        <v>72</v>
      </c>
      <c r="B33" s="34" t="s">
        <v>111</v>
      </c>
      <c r="C33" s="167"/>
      <c r="D33" s="233"/>
      <c r="G33" s="15"/>
    </row>
    <row r="34" spans="1:7">
      <c r="A34" s="171" t="s">
        <v>73</v>
      </c>
      <c r="B34" s="33">
        <f>IF((($B$28-$B$32-$B$39-$B$77-$B$38)*C20/100)&lt;0,0,($B$28-$B$32-$B$39-$B$77-$B$38)*C20/100)</f>
        <v>433.64657980456025</v>
      </c>
      <c r="C34" s="167">
        <f>IF(ISERROR(B34/SUM($B$32,$B$34,$B$35,$B$36,$B$38,$B$39)*100),0,B34/SUM($B$32,$B$34,$B$35,$B$36,$B$38,$B$39)*100)</f>
        <v>2.5190042393526588</v>
      </c>
      <c r="D34" s="233"/>
      <c r="G34" s="15"/>
    </row>
    <row r="35" spans="1:7">
      <c r="A35" s="171" t="s">
        <v>74</v>
      </c>
      <c r="B35" s="33">
        <f>IF((($B$28-$B$32-$B$39-$B$77-$B$38)*C21/100)&lt;0,0,($B$28-$B$32-$B$39-$B$77-$B$38)*C21/100)</f>
        <v>1967.7296416938109</v>
      </c>
      <c r="C35" s="167">
        <f>IF(ISERROR(B35/SUM($B$32,$B$34,$B$35,$B$36,$B$38,$B$39)*100),0,B35/SUM($B$32,$B$34,$B$35,$B$36,$B$38,$B$39)*100)</f>
        <v>11.430320311901312</v>
      </c>
      <c r="D35" s="233"/>
      <c r="G35" s="15"/>
    </row>
    <row r="36" spans="1:7">
      <c r="A36" s="171" t="s">
        <v>75</v>
      </c>
      <c r="B36" s="33">
        <f>IF((($B$28-$B$32-$B$39-$B$77-$B$38)*C22/100)&lt;0,0,($B$28-$B$32-$B$39-$B$77-$B$38)*C22/100)</f>
        <v>461.62377850162864</v>
      </c>
      <c r="C36" s="167">
        <f>IF(ISERROR(B36/SUM($B$32,$B$34,$B$35,$B$36,$B$38,$B$39)*100),0,B36/SUM($B$32,$B$34,$B$35,$B$36,$B$38,$B$39)*100)</f>
        <v>2.6815206418915398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3629</v>
      </c>
      <c r="C39" s="167">
        <f>IF(ISERROR(B39/SUM($B$32,$B$34,$B$35,$B$36,$B$38,$B$39)*100),0,B39/SUM($B$32,$B$34,$B$35,$B$36,$B$38,$B$39)*100)</f>
        <v>21.080453093232645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10723</v>
      </c>
      <c r="C44" s="34" t="s">
        <v>111</v>
      </c>
      <c r="D44" s="174"/>
    </row>
    <row r="45" spans="1:7">
      <c r="A45" s="171" t="s">
        <v>72</v>
      </c>
      <c r="B45" s="33" t="str">
        <f t="shared" si="0"/>
        <v>-</v>
      </c>
      <c r="C45" s="34" t="s">
        <v>111</v>
      </c>
      <c r="D45" s="174"/>
    </row>
    <row r="46" spans="1:7">
      <c r="A46" s="171" t="s">
        <v>73</v>
      </c>
      <c r="B46" s="33">
        <f t="shared" si="0"/>
        <v>433.64657980456025</v>
      </c>
      <c r="C46" s="34" t="s">
        <v>111</v>
      </c>
      <c r="D46" s="174"/>
    </row>
    <row r="47" spans="1:7">
      <c r="A47" s="171" t="s">
        <v>74</v>
      </c>
      <c r="B47" s="33">
        <f t="shared" si="0"/>
        <v>1967.7296416938109</v>
      </c>
      <c r="C47" s="34" t="s">
        <v>111</v>
      </c>
      <c r="D47" s="174"/>
    </row>
    <row r="48" spans="1:7">
      <c r="A48" s="171" t="s">
        <v>75</v>
      </c>
      <c r="B48" s="33">
        <f t="shared" si="0"/>
        <v>461.62377850162864</v>
      </c>
      <c r="C48" s="33">
        <f>B48*10</f>
        <v>4616.2377850162866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3629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93990.986000000004</v>
      </c>
      <c r="C5" s="17">
        <f>IF(ISERROR('Eigen informatie GS &amp; warmtenet'!B58),0,'Eigen informatie GS &amp; warmtenet'!B58)</f>
        <v>0</v>
      </c>
      <c r="D5" s="30">
        <f>SUM(D6:D12)</f>
        <v>89846.738014000017</v>
      </c>
      <c r="E5" s="17">
        <f>SUM(E6:E12)</f>
        <v>1756.4852656296</v>
      </c>
      <c r="F5" s="17">
        <f>SUM(F6:F12)</f>
        <v>22665.060863255891</v>
      </c>
      <c r="G5" s="18"/>
      <c r="H5" s="17"/>
      <c r="I5" s="17"/>
      <c r="J5" s="17">
        <f>SUM(J6:J12)</f>
        <v>0</v>
      </c>
      <c r="K5" s="17"/>
      <c r="L5" s="17"/>
      <c r="M5" s="17"/>
      <c r="N5" s="17">
        <f>SUM(N6:N12)</f>
        <v>7824.1024072696373</v>
      </c>
      <c r="O5" s="17">
        <f>B38*B39*B40</f>
        <v>0</v>
      </c>
      <c r="P5" s="17">
        <f>B46*B47*B48/1000-B46*B47*B48/1000/B49</f>
        <v>57.2</v>
      </c>
      <c r="R5" s="32"/>
    </row>
    <row r="6" spans="1:18">
      <c r="A6" s="32" t="s">
        <v>54</v>
      </c>
      <c r="B6" s="37">
        <f>B26</f>
        <v>28512.462</v>
      </c>
      <c r="C6" s="33"/>
      <c r="D6" s="37">
        <f>IF(ISERROR(TER_kantoor_gas_kWh/1000),0,TER_kantoor_gas_kWh/1000)*0.902</f>
        <v>30461.840684000003</v>
      </c>
      <c r="E6" s="33">
        <f>$C$26*'E Balans VL '!I12/100/3.6*1000000</f>
        <v>373.26324984031498</v>
      </c>
      <c r="F6" s="33">
        <f>$C$26*('E Balans VL '!L12+'E Balans VL '!N12)/100/3.6*1000000</f>
        <v>7270.3831732238204</v>
      </c>
      <c r="G6" s="34"/>
      <c r="H6" s="33"/>
      <c r="I6" s="33"/>
      <c r="J6" s="33">
        <f>$C$26*('E Balans VL '!D12+'E Balans VL '!E12)/100/3.6*1000000</f>
        <v>0</v>
      </c>
      <c r="K6" s="33"/>
      <c r="L6" s="33"/>
      <c r="M6" s="33"/>
      <c r="N6" s="33">
        <f>$C$26*'E Balans VL '!Y12/100/3.6*1000000</f>
        <v>28.608476188577434</v>
      </c>
      <c r="O6" s="33"/>
      <c r="P6" s="33"/>
      <c r="R6" s="32"/>
    </row>
    <row r="7" spans="1:18">
      <c r="A7" s="32" t="s">
        <v>53</v>
      </c>
      <c r="B7" s="37">
        <f t="shared" ref="B7:B12" si="0">B27</f>
        <v>7012.9309999999996</v>
      </c>
      <c r="C7" s="33"/>
      <c r="D7" s="37">
        <f>IF(ISERROR(TER_horeca_gas_kWh/1000),0,TER_horeca_gas_kWh/1000)*0.902</f>
        <v>8011.6875740000005</v>
      </c>
      <c r="E7" s="33">
        <f>$C$27*'E Balans VL '!I9/100/3.6*1000000</f>
        <v>232.08535787173739</v>
      </c>
      <c r="F7" s="33">
        <f>$C$27*('E Balans VL '!L9+'E Balans VL '!N9)/100/3.6*1000000</f>
        <v>3015.5334531928679</v>
      </c>
      <c r="G7" s="34"/>
      <c r="H7" s="33"/>
      <c r="I7" s="33"/>
      <c r="J7" s="33">
        <f>$C$27*('E Balans VL '!D9+'E Balans VL '!E9)/100/3.6*1000000</f>
        <v>0</v>
      </c>
      <c r="K7" s="33"/>
      <c r="L7" s="33"/>
      <c r="M7" s="33"/>
      <c r="N7" s="33">
        <f>$C$27*'E Balans VL '!Y9/100/3.6*1000000</f>
        <v>1.6881143306340143</v>
      </c>
      <c r="O7" s="33"/>
      <c r="P7" s="33"/>
      <c r="R7" s="32"/>
    </row>
    <row r="8" spans="1:18">
      <c r="A8" s="6" t="s">
        <v>52</v>
      </c>
      <c r="B8" s="37">
        <f t="shared" si="0"/>
        <v>35854.152000000002</v>
      </c>
      <c r="C8" s="33"/>
      <c r="D8" s="37">
        <f>IF(ISERROR(TER_handel_gas_kWh/1000),0,TER_handel_gas_kWh/1000)*0.902</f>
        <v>18806.495246000002</v>
      </c>
      <c r="E8" s="33">
        <f>$C$28*'E Balans VL '!I13/100/3.6*1000000</f>
        <v>1131.6118206335379</v>
      </c>
      <c r="F8" s="33">
        <f>$C$28*('E Balans VL '!L13+'E Balans VL '!N13)/100/3.6*1000000</f>
        <v>7031.6305596188868</v>
      </c>
      <c r="G8" s="34"/>
      <c r="H8" s="33"/>
      <c r="I8" s="33"/>
      <c r="J8" s="33">
        <f>$C$28*('E Balans VL '!D13+'E Balans VL '!E13)/100/3.6*1000000</f>
        <v>0</v>
      </c>
      <c r="K8" s="33"/>
      <c r="L8" s="33"/>
      <c r="M8" s="33"/>
      <c r="N8" s="33">
        <f>$C$28*'E Balans VL '!Y13/100/3.6*1000000</f>
        <v>42.551917425845659</v>
      </c>
      <c r="O8" s="33"/>
      <c r="P8" s="33"/>
      <c r="R8" s="32"/>
    </row>
    <row r="9" spans="1:18">
      <c r="A9" s="32" t="s">
        <v>51</v>
      </c>
      <c r="B9" s="37">
        <f t="shared" si="0"/>
        <v>10904.678</v>
      </c>
      <c r="C9" s="33"/>
      <c r="D9" s="37">
        <f>IF(ISERROR(TER_gezond_gas_kWh/1000),0,TER_gezond_gas_kWh/1000)*0.902</f>
        <v>19427.942578000002</v>
      </c>
      <c r="E9" s="33">
        <f>$C$29*'E Balans VL '!I10/100/3.6*1000000</f>
        <v>1.396117793276672</v>
      </c>
      <c r="F9" s="33">
        <f>$C$29*('E Balans VL '!L10+'E Balans VL '!N10)/100/3.6*1000000</f>
        <v>2271.9014843412237</v>
      </c>
      <c r="G9" s="34"/>
      <c r="H9" s="33"/>
      <c r="I9" s="33"/>
      <c r="J9" s="33">
        <f>$C$29*('E Balans VL '!D10+'E Balans VL '!E10)/100/3.6*1000000</f>
        <v>0</v>
      </c>
      <c r="K9" s="33"/>
      <c r="L9" s="33"/>
      <c r="M9" s="33"/>
      <c r="N9" s="33">
        <f>$C$29*'E Balans VL '!Y10/100/3.6*1000000</f>
        <v>128.08059733842768</v>
      </c>
      <c r="O9" s="33"/>
      <c r="P9" s="33"/>
      <c r="R9" s="32"/>
    </row>
    <row r="10" spans="1:18">
      <c r="A10" s="32" t="s">
        <v>50</v>
      </c>
      <c r="B10" s="37">
        <f t="shared" si="0"/>
        <v>9668.4330000000009</v>
      </c>
      <c r="C10" s="33"/>
      <c r="D10" s="37">
        <f>IF(ISERROR(TER_ander_gas_kWh/1000),0,TER_ander_gas_kWh/1000)*0.902</f>
        <v>6385.0225780000001</v>
      </c>
      <c r="E10" s="33">
        <f>$C$30*'E Balans VL '!I14/100/3.6*1000000</f>
        <v>14.539049549269283</v>
      </c>
      <c r="F10" s="33">
        <f>$C$30*('E Balans VL '!L14+'E Balans VL '!N14)/100/3.6*1000000</f>
        <v>2134.4783483587439</v>
      </c>
      <c r="G10" s="34"/>
      <c r="H10" s="33"/>
      <c r="I10" s="33"/>
      <c r="J10" s="33">
        <f>$C$30*('E Balans VL '!D14+'E Balans VL '!E14)/100/3.6*1000000</f>
        <v>0</v>
      </c>
      <c r="K10" s="33"/>
      <c r="L10" s="33"/>
      <c r="M10" s="33"/>
      <c r="N10" s="33">
        <f>$C$30*'E Balans VL '!Y14/100/3.6*1000000</f>
        <v>7619.3758650085374</v>
      </c>
      <c r="O10" s="33"/>
      <c r="P10" s="33"/>
      <c r="R10" s="32"/>
    </row>
    <row r="11" spans="1:18">
      <c r="A11" s="32" t="s">
        <v>55</v>
      </c>
      <c r="B11" s="37">
        <f t="shared" si="0"/>
        <v>2038.33</v>
      </c>
      <c r="C11" s="33"/>
      <c r="D11" s="37">
        <f>IF(ISERROR(TER_onderwijs_gas_kWh/1000),0,TER_onderwijs_gas_kWh/1000)*0.902</f>
        <v>6753.7493540000005</v>
      </c>
      <c r="E11" s="33">
        <f>$C$31*'E Balans VL '!I11/100/3.6*1000000</f>
        <v>3.589669941463566</v>
      </c>
      <c r="F11" s="33">
        <f>$C$31*('E Balans VL '!L11+'E Balans VL '!N11)/100/3.6*1000000</f>
        <v>941.13384452034734</v>
      </c>
      <c r="G11" s="34"/>
      <c r="H11" s="33"/>
      <c r="I11" s="33"/>
      <c r="J11" s="33">
        <f>$C$31*('E Balans VL '!D11+'E Balans VL '!E11)/100/3.6*1000000</f>
        <v>0</v>
      </c>
      <c r="K11" s="33"/>
      <c r="L11" s="33"/>
      <c r="M11" s="33"/>
      <c r="N11" s="33">
        <f>$C$31*'E Balans VL '!Y11/100/3.6*1000000</f>
        <v>3.7974369776145092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518.85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-1414.2857142857144</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94509.83600000001</v>
      </c>
      <c r="C16" s="21">
        <f t="shared" ca="1" si="1"/>
        <v>34.071428571428577</v>
      </c>
      <c r="D16" s="21">
        <f t="shared" ca="1" si="1"/>
        <v>89778.595156857162</v>
      </c>
      <c r="E16" s="21">
        <f t="shared" si="1"/>
        <v>1756.4852656296</v>
      </c>
      <c r="F16" s="21">
        <f t="shared" ca="1" si="1"/>
        <v>22665.060863255891</v>
      </c>
      <c r="G16" s="21">
        <f t="shared" si="1"/>
        <v>0</v>
      </c>
      <c r="H16" s="21">
        <f t="shared" si="1"/>
        <v>0</v>
      </c>
      <c r="I16" s="21">
        <f t="shared" si="1"/>
        <v>0</v>
      </c>
      <c r="J16" s="21">
        <f t="shared" si="1"/>
        <v>0</v>
      </c>
      <c r="K16" s="21">
        <f t="shared" si="1"/>
        <v>0</v>
      </c>
      <c r="L16" s="21">
        <f t="shared" ca="1" si="1"/>
        <v>0</v>
      </c>
      <c r="M16" s="21">
        <f t="shared" si="1"/>
        <v>0</v>
      </c>
      <c r="N16" s="21">
        <f t="shared" ca="1" si="1"/>
        <v>6409.8166929839226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0.20037648001686012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18937.54826465073</v>
      </c>
      <c r="C20" s="23">
        <f t="shared" ref="C20:P20" ca="1" si="2">C16*C18</f>
        <v>8.0969747899159685</v>
      </c>
      <c r="D20" s="23">
        <f t="shared" ca="1" si="2"/>
        <v>18135.276221685148</v>
      </c>
      <c r="E20" s="23">
        <f t="shared" si="2"/>
        <v>398.72215529791919</v>
      </c>
      <c r="F20" s="23">
        <f t="shared" ca="1" si="2"/>
        <v>6051.5712504893236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28512.462</v>
      </c>
      <c r="C26" s="39">
        <f>IF(ISERROR(B26*3.6/1000000/'E Balans VL '!Z12*100),0,B26*3.6/1000000/'E Balans VL '!Z12*100)</f>
        <v>0.61075908650919897</v>
      </c>
      <c r="D26" s="237" t="s">
        <v>660</v>
      </c>
      <c r="F26" s="6"/>
    </row>
    <row r="27" spans="1:18">
      <c r="A27" s="231" t="s">
        <v>53</v>
      </c>
      <c r="B27" s="33">
        <f>IF(ISERROR(TER_horeca_ele_kWh/1000),0,TER_horeca_ele_kWh/1000)</f>
        <v>7012.9309999999996</v>
      </c>
      <c r="C27" s="39">
        <f>IF(ISERROR(B27*3.6/1000000/'E Balans VL '!Z9*100),0,B27*3.6/1000000/'E Balans VL '!Z9*100)</f>
        <v>0.56276333605066098</v>
      </c>
      <c r="D27" s="237" t="s">
        <v>660</v>
      </c>
      <c r="F27" s="6"/>
    </row>
    <row r="28" spans="1:18">
      <c r="A28" s="171" t="s">
        <v>52</v>
      </c>
      <c r="B28" s="33">
        <f>IF(ISERROR(TER_handel_ele_kWh/1000),0,TER_handel_ele_kWh/1000)</f>
        <v>35854.152000000002</v>
      </c>
      <c r="C28" s="39">
        <f>IF(ISERROR(B28*3.6/1000000/'E Balans VL '!Z13*100),0,B28*3.6/1000000/'E Balans VL '!Z13*100)</f>
        <v>1.0574918327868885</v>
      </c>
      <c r="D28" s="237" t="s">
        <v>660</v>
      </c>
      <c r="F28" s="6"/>
    </row>
    <row r="29" spans="1:18">
      <c r="A29" s="231" t="s">
        <v>51</v>
      </c>
      <c r="B29" s="33">
        <f>IF(ISERROR(TER_gezond_ele_kWh/1000),0,TER_gezond_ele_kWh/1000)</f>
        <v>10904.678</v>
      </c>
      <c r="C29" s="39">
        <f>IF(ISERROR(B29*3.6/1000000/'E Balans VL '!Z10*100),0,B29*3.6/1000000/'E Balans VL '!Z10*100)</f>
        <v>1.1643272450192084</v>
      </c>
      <c r="D29" s="237" t="s">
        <v>660</v>
      </c>
      <c r="F29" s="6"/>
    </row>
    <row r="30" spans="1:18">
      <c r="A30" s="231" t="s">
        <v>50</v>
      </c>
      <c r="B30" s="33">
        <f>IF(ISERROR(TER_ander_ele_kWh/1000),0,TER_ander_ele_kWh/1000)</f>
        <v>9668.4330000000009</v>
      </c>
      <c r="C30" s="39">
        <f>IF(ISERROR(B30*3.6/1000000/'E Balans VL '!Z14*100),0,B30*3.6/1000000/'E Balans VL '!Z14*100)</f>
        <v>0.73029471089495246</v>
      </c>
      <c r="D30" s="237" t="s">
        <v>660</v>
      </c>
      <c r="F30" s="6"/>
    </row>
    <row r="31" spans="1:18">
      <c r="A31" s="231" t="s">
        <v>55</v>
      </c>
      <c r="B31" s="33">
        <f>IF(ISERROR(TER_onderwijs_ele_kWh/1000),0,TER_onderwijs_ele_kWh/1000)</f>
        <v>2038.33</v>
      </c>
      <c r="C31" s="39">
        <f>IF(ISERROR(B31*3.6/1000000/'E Balans VL '!Z11*100),0,B31*3.6/1000000/'E Balans VL '!Z11*100)</f>
        <v>0.41160687171214061</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85688.756000000008</v>
      </c>
      <c r="C5" s="17">
        <f>IF(ISERROR('Eigen informatie GS &amp; warmtenet'!B59),0,'Eigen informatie GS &amp; warmtenet'!B59)</f>
        <v>0</v>
      </c>
      <c r="D5" s="30">
        <f>SUM(D6:D15)</f>
        <v>92318.034908000001</v>
      </c>
      <c r="E5" s="17">
        <f>SUM(E6:E15)</f>
        <v>3866.2034254324408</v>
      </c>
      <c r="F5" s="17">
        <f>SUM(F6:F15)</f>
        <v>36108.126844869381</v>
      </c>
      <c r="G5" s="18"/>
      <c r="H5" s="17"/>
      <c r="I5" s="17"/>
      <c r="J5" s="17">
        <f>SUM(J6:J15)</f>
        <v>11.446841272124484</v>
      </c>
      <c r="K5" s="17"/>
      <c r="L5" s="17"/>
      <c r="M5" s="17"/>
      <c r="N5" s="17">
        <f>SUM(N6:N15)</f>
        <v>9861.914773733637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67077.221000000005</v>
      </c>
      <c r="C8" s="33"/>
      <c r="D8" s="37">
        <f>IF( ISERROR(IND_metaal_Gas_kWH/1000),0,IND_metaal_Gas_kWH/1000)*0.902</f>
        <v>43701.178399999997</v>
      </c>
      <c r="E8" s="33">
        <f>C30*'E Balans VL '!I18/100/3.6*1000000</f>
        <v>2413.6413339292267</v>
      </c>
      <c r="F8" s="33">
        <f>C30*'E Balans VL '!L18/100/3.6*1000000+C30*'E Balans VL '!N18/100/3.6*1000000</f>
        <v>29290.448001139626</v>
      </c>
      <c r="G8" s="34"/>
      <c r="H8" s="33"/>
      <c r="I8" s="33"/>
      <c r="J8" s="40">
        <f>C30*'E Balans VL '!D18/100/3.6*1000000+C30*'E Balans VL '!E18/100/3.6*1000000</f>
        <v>0</v>
      </c>
      <c r="K8" s="33"/>
      <c r="L8" s="33"/>
      <c r="M8" s="33"/>
      <c r="N8" s="33">
        <f>C30*'E Balans VL '!Y18/100/3.6*1000000</f>
        <v>3361.8647327182894</v>
      </c>
      <c r="O8" s="33"/>
      <c r="P8" s="33"/>
      <c r="R8" s="32"/>
    </row>
    <row r="9" spans="1:18">
      <c r="A9" s="6" t="s">
        <v>33</v>
      </c>
      <c r="B9" s="37">
        <f t="shared" si="0"/>
        <v>4317.1959999999999</v>
      </c>
      <c r="C9" s="33"/>
      <c r="D9" s="37">
        <f>IF( ISERROR(IND_andere_gas_kWh/1000),0,IND_andere_gas_kWh/1000)*0.902</f>
        <v>2946.6725419999998</v>
      </c>
      <c r="E9" s="33">
        <f>C31*'E Balans VL '!I19/100/3.6*1000000</f>
        <v>1101.6507399046047</v>
      </c>
      <c r="F9" s="33">
        <f>C31*'E Balans VL '!L19/100/3.6*1000000+C31*'E Balans VL '!N19/100/3.6*1000000</f>
        <v>3716.7812629334326</v>
      </c>
      <c r="G9" s="34"/>
      <c r="H9" s="33"/>
      <c r="I9" s="33"/>
      <c r="J9" s="40">
        <f>C31*'E Balans VL '!D19/100/3.6*1000000+C31*'E Balans VL '!E19/100/3.6*1000000</f>
        <v>0</v>
      </c>
      <c r="K9" s="33"/>
      <c r="L9" s="33"/>
      <c r="M9" s="33"/>
      <c r="N9" s="33">
        <f>C31*'E Balans VL '!Y19/100/3.6*1000000</f>
        <v>1350.135037721881</v>
      </c>
      <c r="O9" s="33"/>
      <c r="P9" s="33"/>
      <c r="R9" s="32"/>
    </row>
    <row r="10" spans="1:18">
      <c r="A10" s="6" t="s">
        <v>41</v>
      </c>
      <c r="B10" s="37">
        <f t="shared" si="0"/>
        <v>12975.638000000001</v>
      </c>
      <c r="C10" s="33"/>
      <c r="D10" s="37">
        <f>IF( ISERROR(IND_voed_gas_kWh/1000),0,IND_voed_gas_kWh/1000)*0.902</f>
        <v>45174.440256000002</v>
      </c>
      <c r="E10" s="33">
        <f>C32*'E Balans VL '!I20/100/3.6*1000000</f>
        <v>329.85853497104796</v>
      </c>
      <c r="F10" s="33">
        <f>C32*'E Balans VL '!L20/100/3.6*1000000+C32*'E Balans VL '!N20/100/3.6*1000000</f>
        <v>2936.192098275686</v>
      </c>
      <c r="G10" s="34"/>
      <c r="H10" s="33"/>
      <c r="I10" s="33"/>
      <c r="J10" s="40">
        <f>C32*'E Balans VL '!D20/100/3.6*1000000+C32*'E Balans VL '!E20/100/3.6*1000000</f>
        <v>0</v>
      </c>
      <c r="K10" s="33"/>
      <c r="L10" s="33"/>
      <c r="M10" s="33"/>
      <c r="N10" s="33">
        <f>C32*'E Balans VL '!Y20/100/3.6*1000000</f>
        <v>4866.2159685023662</v>
      </c>
      <c r="O10" s="33"/>
      <c r="P10" s="33"/>
      <c r="R10" s="32"/>
    </row>
    <row r="11" spans="1:18">
      <c r="A11" s="6" t="s">
        <v>40</v>
      </c>
      <c r="B11" s="37">
        <f t="shared" si="0"/>
        <v>179.86500000000001</v>
      </c>
      <c r="C11" s="33"/>
      <c r="D11" s="37">
        <f>IF( ISERROR(IND_textiel_gas_kWh/1000),0,IND_textiel_gas_kWh/1000)*0.902</f>
        <v>173.71257200000002</v>
      </c>
      <c r="E11" s="33">
        <f>C33*'E Balans VL '!I21/100/3.6*1000000</f>
        <v>0.49377779480844852</v>
      </c>
      <c r="F11" s="33">
        <f>C33*'E Balans VL '!L21/100/3.6*1000000+C33*'E Balans VL '!N21/100/3.6*1000000</f>
        <v>9.5356927059568477</v>
      </c>
      <c r="G11" s="34"/>
      <c r="H11" s="33"/>
      <c r="I11" s="33"/>
      <c r="J11" s="40">
        <f>C33*'E Balans VL '!D21/100/3.6*1000000+C33*'E Balans VL '!E21/100/3.6*1000000</f>
        <v>0</v>
      </c>
      <c r="K11" s="33"/>
      <c r="L11" s="33"/>
      <c r="M11" s="33"/>
      <c r="N11" s="33">
        <f>C33*'E Balans VL '!Y21/100/3.6*1000000</f>
        <v>0.36149888547102549</v>
      </c>
      <c r="O11" s="33"/>
      <c r="P11" s="33"/>
      <c r="R11" s="32"/>
    </row>
    <row r="12" spans="1:18">
      <c r="A12" s="6" t="s">
        <v>37</v>
      </c>
      <c r="B12" s="37">
        <f t="shared" si="0"/>
        <v>918.44799999999998</v>
      </c>
      <c r="C12" s="33"/>
      <c r="D12" s="37">
        <f>IF( ISERROR(IND_min_gas_kWh/1000),0,IND_min_gas_kWh/1000)*0.902</f>
        <v>19.948632</v>
      </c>
      <c r="E12" s="33">
        <f>C34*'E Balans VL '!I22/100/3.6*1000000</f>
        <v>19.514718165219104</v>
      </c>
      <c r="F12" s="33">
        <f>C34*'E Balans VL '!L22/100/3.6*1000000+C34*'E Balans VL '!N22/100/3.6*1000000</f>
        <v>149.85261830442928</v>
      </c>
      <c r="G12" s="34"/>
      <c r="H12" s="33"/>
      <c r="I12" s="33"/>
      <c r="J12" s="40">
        <f>C34*'E Balans VL '!D22/100/3.6*1000000+C34*'E Balans VL '!E22/100/3.6*1000000</f>
        <v>1.0700776300375601</v>
      </c>
      <c r="K12" s="33"/>
      <c r="L12" s="33"/>
      <c r="M12" s="33"/>
      <c r="N12" s="33">
        <f>C34*'E Balans VL '!Y22/100/3.6*1000000</f>
        <v>0</v>
      </c>
      <c r="O12" s="33"/>
      <c r="P12" s="33"/>
      <c r="R12" s="32"/>
    </row>
    <row r="13" spans="1:18">
      <c r="A13" s="6" t="s">
        <v>39</v>
      </c>
      <c r="B13" s="37">
        <f t="shared" si="0"/>
        <v>154.483</v>
      </c>
      <c r="C13" s="33"/>
      <c r="D13" s="37">
        <f>IF( ISERROR(IND_papier_gas_kWh/1000),0,IND_papier_gas_kWh/1000)*0.902</f>
        <v>224.75585000000001</v>
      </c>
      <c r="E13" s="33">
        <f>C35*'E Balans VL '!I23/100/3.6*1000000</f>
        <v>0.66253264514804056</v>
      </c>
      <c r="F13" s="33">
        <f>C35*'E Balans VL '!L23/100/3.6*1000000+C35*'E Balans VL '!N23/100/3.6*1000000</f>
        <v>3.8826372747079825</v>
      </c>
      <c r="G13" s="34"/>
      <c r="H13" s="33"/>
      <c r="I13" s="33"/>
      <c r="J13" s="40">
        <f>C35*'E Balans VL '!D23/100/3.6*1000000+C35*'E Balans VL '!E23/100/3.6*1000000</f>
        <v>10.341789545599678</v>
      </c>
      <c r="K13" s="33"/>
      <c r="L13" s="33"/>
      <c r="M13" s="33"/>
      <c r="N13" s="33">
        <f>C35*'E Balans VL '!Y23/100/3.6*1000000</f>
        <v>281.19579745902104</v>
      </c>
      <c r="O13" s="33"/>
      <c r="P13" s="33"/>
      <c r="R13" s="32"/>
    </row>
    <row r="14" spans="1:18">
      <c r="A14" s="6" t="s">
        <v>34</v>
      </c>
      <c r="B14" s="37">
        <f t="shared" si="0"/>
        <v>61.591000000000001</v>
      </c>
      <c r="C14" s="33"/>
      <c r="D14" s="37">
        <f>IF( ISERROR(IND_chemie_gas_kWh/1000),0,IND_chemie_gas_kWh/1000)*0.902</f>
        <v>0</v>
      </c>
      <c r="E14" s="33">
        <f>C36*'E Balans VL '!I24/100/3.6*1000000</f>
        <v>0.14765477508154404</v>
      </c>
      <c r="F14" s="33">
        <f>C36*'E Balans VL '!L24/100/3.6*1000000+C36*'E Balans VL '!N24/100/3.6*1000000</f>
        <v>0.4942817071446689</v>
      </c>
      <c r="G14" s="34"/>
      <c r="H14" s="33"/>
      <c r="I14" s="33"/>
      <c r="J14" s="40">
        <f>C36*'E Balans VL '!D24/100/3.6*1000000+C36*'E Balans VL '!E24/100/3.6*1000000</f>
        <v>0</v>
      </c>
      <c r="K14" s="33"/>
      <c r="L14" s="33"/>
      <c r="M14" s="33"/>
      <c r="N14" s="33">
        <f>C36*'E Balans VL '!Y24/100/3.6*1000000</f>
        <v>1.2730382209134432</v>
      </c>
      <c r="O14" s="33"/>
      <c r="P14" s="33"/>
      <c r="R14" s="32"/>
    </row>
    <row r="15" spans="1:18">
      <c r="A15" s="6" t="s">
        <v>270</v>
      </c>
      <c r="B15" s="37">
        <f t="shared" si="0"/>
        <v>4.3140000000000001</v>
      </c>
      <c r="C15" s="33"/>
      <c r="D15" s="37">
        <f>IF( ISERROR(IND_rest_gas_kWh/1000),0,IND_rest_gas_kWh/1000)*0.902</f>
        <v>77.326656</v>
      </c>
      <c r="E15" s="33">
        <f>C37*'E Balans VL '!I15/100/3.6*1000000</f>
        <v>0.23413324730396345</v>
      </c>
      <c r="F15" s="33">
        <f>C37*'E Balans VL '!L15/100/3.6*1000000+C37*'E Balans VL '!N15/100/3.6*1000000</f>
        <v>0.94025252840088247</v>
      </c>
      <c r="G15" s="34"/>
      <c r="H15" s="33"/>
      <c r="I15" s="33"/>
      <c r="J15" s="40">
        <f>C37*'E Balans VL '!D15/100/3.6*1000000+C37*'E Balans VL '!E15/100/3.6*1000000</f>
        <v>3.4974096487247433E-2</v>
      </c>
      <c r="K15" s="33"/>
      <c r="L15" s="33"/>
      <c r="M15" s="33"/>
      <c r="N15" s="33">
        <f>C37*'E Balans VL '!Y15/100/3.6*1000000</f>
        <v>0.86870022569323446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85688.756000000008</v>
      </c>
      <c r="C18" s="21">
        <f>C5+C16</f>
        <v>0</v>
      </c>
      <c r="D18" s="21">
        <f>MAX((D5+D16),0)</f>
        <v>92318.034908000001</v>
      </c>
      <c r="E18" s="21">
        <f>MAX((E5+E16),0)</f>
        <v>3866.2034254324408</v>
      </c>
      <c r="F18" s="21">
        <f>MAX((F5+F16),0)</f>
        <v>36108.126844869381</v>
      </c>
      <c r="G18" s="21"/>
      <c r="H18" s="21"/>
      <c r="I18" s="21"/>
      <c r="J18" s="21">
        <f>MAX((J5+J16),0)</f>
        <v>11.446841272124484</v>
      </c>
      <c r="K18" s="21"/>
      <c r="L18" s="21">
        <f>MAX((L5+L16),0)</f>
        <v>0</v>
      </c>
      <c r="M18" s="21"/>
      <c r="N18" s="21">
        <f>MAX((N5+N16),0)</f>
        <v>9861.914773733637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0.20037648001686012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17170.011304303604</v>
      </c>
      <c r="C22" s="23">
        <f ca="1">C18*C20</f>
        <v>0</v>
      </c>
      <c r="D22" s="23">
        <f>D18*D20</f>
        <v>18648.243051416001</v>
      </c>
      <c r="E22" s="23">
        <f>E18*E20</f>
        <v>877.62817757316407</v>
      </c>
      <c r="F22" s="23">
        <f>F18*F20</f>
        <v>9640.8698675801261</v>
      </c>
      <c r="G22" s="23"/>
      <c r="H22" s="23"/>
      <c r="I22" s="23"/>
      <c r="J22" s="23">
        <f>J18*J20</f>
        <v>4.0521818103320673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67077.221000000005</v>
      </c>
      <c r="C30" s="39">
        <f>IF(ISERROR(B30*3.6/1000000/'E Balans VL '!Z18*100),0,B30*3.6/1000000/'E Balans VL '!Z18*100)</f>
        <v>14.212225032183607</v>
      </c>
      <c r="D30" s="237" t="s">
        <v>660</v>
      </c>
    </row>
    <row r="31" spans="1:18">
      <c r="A31" s="6" t="s">
        <v>33</v>
      </c>
      <c r="B31" s="37">
        <f>IF( ISERROR(IND_ander_ele_kWh/1000),0,IND_ander_ele_kWh/1000)</f>
        <v>4317.1959999999999</v>
      </c>
      <c r="C31" s="39">
        <f>IF(ISERROR(B31*3.6/1000000/'E Balans VL '!Z19*100),0,B31*3.6/1000000/'E Balans VL '!Z19*100)</f>
        <v>0.18172058254644333</v>
      </c>
      <c r="D31" s="237" t="s">
        <v>660</v>
      </c>
    </row>
    <row r="32" spans="1:18">
      <c r="A32" s="171" t="s">
        <v>41</v>
      </c>
      <c r="B32" s="37">
        <f>IF( ISERROR(IND_voed_ele_kWh/1000),0,IND_voed_ele_kWh/1000)</f>
        <v>12975.638000000001</v>
      </c>
      <c r="C32" s="39">
        <f>IF(ISERROR(B32*3.6/1000000/'E Balans VL '!Z20*100),0,B32*3.6/1000000/'E Balans VL '!Z20*100)</f>
        <v>2.1677271371469189</v>
      </c>
      <c r="D32" s="237" t="s">
        <v>660</v>
      </c>
    </row>
    <row r="33" spans="1:5">
      <c r="A33" s="171" t="s">
        <v>40</v>
      </c>
      <c r="B33" s="37">
        <f>IF( ISERROR(IND_textiel_ele_kWh/1000),0,IND_textiel_ele_kWh/1000)</f>
        <v>179.86500000000001</v>
      </c>
      <c r="C33" s="39">
        <f>IF(ISERROR(B33*3.6/1000000/'E Balans VL '!Z21*100),0,B33*3.6/1000000/'E Balans VL '!Z21*100)</f>
        <v>1.0501056949049398E-2</v>
      </c>
      <c r="D33" s="237" t="s">
        <v>660</v>
      </c>
    </row>
    <row r="34" spans="1:5">
      <c r="A34" s="171" t="s">
        <v>37</v>
      </c>
      <c r="B34" s="37">
        <f>IF( ISERROR(IND_min_ele_kWh/1000),0,IND_min_ele_kWh/1000)</f>
        <v>918.44799999999998</v>
      </c>
      <c r="C34" s="39">
        <f>IF(ISERROR(B34*3.6/1000000/'E Balans VL '!Z22*100),0,B34*3.6/1000000/'E Balans VL '!Z22*100)</f>
        <v>0.11641823717543499</v>
      </c>
      <c r="D34" s="237" t="s">
        <v>660</v>
      </c>
    </row>
    <row r="35" spans="1:5">
      <c r="A35" s="171" t="s">
        <v>39</v>
      </c>
      <c r="B35" s="37">
        <f>IF( ISERROR(IND_papier_ele_kWh/1000),0,IND_papier_ele_kWh/1000)</f>
        <v>154.483</v>
      </c>
      <c r="C35" s="39">
        <f>IF(ISERROR(B35*3.6/1000000/'E Balans VL '!Z22*100),0,B35*3.6/1000000/'E Balans VL '!Z22*100)</f>
        <v>1.9581553374358397E-2</v>
      </c>
      <c r="D35" s="237" t="s">
        <v>660</v>
      </c>
    </row>
    <row r="36" spans="1:5">
      <c r="A36" s="171" t="s">
        <v>34</v>
      </c>
      <c r="B36" s="37">
        <f>IF( ISERROR(IND_chemie_ele_kWh/1000),0,IND_chemie_ele_kWh/1000)</f>
        <v>61.591000000000001</v>
      </c>
      <c r="C36" s="39">
        <f>IF(ISERROR(B36*3.6/1000000/'E Balans VL '!Z24*100),0,B36*3.6/1000000/'E Balans VL '!Z24*100)</f>
        <v>2.0004776661692075E-3</v>
      </c>
      <c r="D36" s="237" t="s">
        <v>660</v>
      </c>
    </row>
    <row r="37" spans="1:5">
      <c r="A37" s="171" t="s">
        <v>270</v>
      </c>
      <c r="B37" s="37">
        <f>IF( ISERROR(IND_rest_ele_kWh/1000),0,IND_rest_ele_kWh/1000)</f>
        <v>4.3140000000000001</v>
      </c>
      <c r="C37" s="39">
        <f>IF(ISERROR(B37*3.6/1000000/'E Balans VL '!Z15*100),0,B37*3.6/1000000/'E Balans VL '!Z15*100)</f>
        <v>3.4828592457363313E-5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9660.6239999999998</v>
      </c>
      <c r="C5" s="17">
        <f>'Eigen informatie GS &amp; warmtenet'!B60</f>
        <v>0</v>
      </c>
      <c r="D5" s="30">
        <f>IF(ISERROR(SUM(LB_lb_gas_kWh,LB_rest_gas_kWh,onbekend_gas_kWh)/1000),0,SUM(LB_lb_gas_kWh,LB_rest_gas_kWh,onbekend_gas_kWh)/1000)*0.902</f>
        <v>5812.7288339999996</v>
      </c>
      <c r="E5" s="17">
        <f>B17*'E Balans VL '!I25/3.6*1000000/100</f>
        <v>249.1104004522812</v>
      </c>
      <c r="F5" s="17">
        <f>B17*('E Balans VL '!L25/3.6*1000000+'E Balans VL '!N25/3.6*1000000)/100</f>
        <v>35311.42049646972</v>
      </c>
      <c r="G5" s="18"/>
      <c r="H5" s="17"/>
      <c r="I5" s="17"/>
      <c r="J5" s="17">
        <f>('E Balans VL '!D25+'E Balans VL '!E25)/3.6*1000000*landbouw!B17/100</f>
        <v>1390.7744739377899</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9660.6239999999998</v>
      </c>
      <c r="C8" s="21">
        <f>C5+C6</f>
        <v>0</v>
      </c>
      <c r="D8" s="21">
        <f>MAX((D5+D6),0)</f>
        <v>5812.7288339999996</v>
      </c>
      <c r="E8" s="21">
        <f>MAX((E5+E6),0)</f>
        <v>249.1104004522812</v>
      </c>
      <c r="F8" s="21">
        <f>MAX((F5+F6),0)</f>
        <v>35311.42049646972</v>
      </c>
      <c r="G8" s="21"/>
      <c r="H8" s="21"/>
      <c r="I8" s="21"/>
      <c r="J8" s="21">
        <f>MAX((J5+J6),0)</f>
        <v>1390.7744739377899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0.20037648001686012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1935.7618318863992</v>
      </c>
      <c r="C12" s="23">
        <f ca="1">C8*C10</f>
        <v>0</v>
      </c>
      <c r="D12" s="23">
        <f>D8*D10</f>
        <v>1174.171224468</v>
      </c>
      <c r="E12" s="23">
        <f>E8*E10</f>
        <v>56.548060902667835</v>
      </c>
      <c r="F12" s="23">
        <f>F8*F10</f>
        <v>9428.1492725574153</v>
      </c>
      <c r="G12" s="23"/>
      <c r="H12" s="23"/>
      <c r="I12" s="23"/>
      <c r="J12" s="23">
        <f>J8*J10</f>
        <v>492.33416377397759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1.3622119745385242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237.2765298667677</v>
      </c>
      <c r="C26" s="247">
        <f>B26*'GWP N2O_CH4'!B5</f>
        <v>4982.8071272021216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61.379957402212341</v>
      </c>
      <c r="C27" s="247">
        <f>B27*'GWP N2O_CH4'!B5</f>
        <v>1288.9791054464592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3.6048595445552003</v>
      </c>
      <c r="C28" s="247">
        <f>B28*'GWP N2O_CH4'!B4</f>
        <v>1117.506458812112</v>
      </c>
      <c r="D28" s="50"/>
    </row>
    <row r="29" spans="1:4">
      <c r="A29" s="41" t="s">
        <v>277</v>
      </c>
      <c r="B29" s="247">
        <f>B34*'ha_N2O bodem landbouw'!B4</f>
        <v>41.212556344587462</v>
      </c>
      <c r="C29" s="247">
        <f>B29*'GWP N2O_CH4'!B4</f>
        <v>12775.892466822113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9.2750647329912575E-3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2.5590398279447621E-4</v>
      </c>
      <c r="C5" s="463" t="s">
        <v>211</v>
      </c>
      <c r="D5" s="448">
        <f>SUM(D6:D11)</f>
        <v>6.0892355794944786E-4</v>
      </c>
      <c r="E5" s="448">
        <f>SUM(E6:E11)</f>
        <v>2.3280601007462649E-3</v>
      </c>
      <c r="F5" s="461" t="s">
        <v>211</v>
      </c>
      <c r="G5" s="448">
        <f>SUM(G6:G11)</f>
        <v>0.73318076281621503</v>
      </c>
      <c r="H5" s="448">
        <f>SUM(H6:H11)</f>
        <v>0.16302014755803748</v>
      </c>
      <c r="I5" s="463" t="s">
        <v>211</v>
      </c>
      <c r="J5" s="463" t="s">
        <v>211</v>
      </c>
      <c r="K5" s="463" t="s">
        <v>211</v>
      </c>
      <c r="L5" s="463" t="s">
        <v>211</v>
      </c>
      <c r="M5" s="448">
        <f>SUM(M6:M11)</f>
        <v>2.798380024118978E-2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1.9031258074365533E-4</v>
      </c>
      <c r="C6" s="449"/>
      <c r="D6" s="962">
        <f>vkm_2011_GW_PW*SUMIFS(TableVerdeelsleutelVkm[CNG],TableVerdeelsleutelVkm[Voertuigtype],"Lichte voertuigen")*SUMIFS(TableECFTransport[EnergieConsumptieFactor (PJ per km)],TableECFTransport[Index],CONCATENATE($A6,"_CNG_CNG"))</f>
        <v>3.7815443155452216E-4</v>
      </c>
      <c r="E6" s="962">
        <f>vkm_2011_GW_PW*SUMIFS(TableVerdeelsleutelVkm[LPG],TableVerdeelsleutelVkm[Voertuigtype],"Lichte voertuigen")*SUMIFS(TableECFTransport[EnergieConsumptieFactor (PJ per km)],TableECFTransport[Index],CONCATENATE($A6,"_LPG_LPG"))</f>
        <v>1.4881732463687086E-3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0.3538365357848724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0.10237778114637147</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1.4216059390037316E-2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0.18075421746502712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5.8391332887878182E-5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5.6952888246210604E-3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6.5591402050820861E-5</v>
      </c>
      <c r="C8" s="449"/>
      <c r="D8" s="451">
        <f>vkm_2011_NGW_PW*SUMIFS(TableVerdeelsleutelVkm[CNG],TableVerdeelsleutelVkm[Voertuigtype],"Lichte voertuigen")*SUMIFS(TableECFTransport[EnergieConsumptieFactor (PJ per km)],TableECFTransport[Index],CONCATENATE($A8,"_CNG_CNG"))</f>
        <v>2.3076912639492564E-4</v>
      </c>
      <c r="E8" s="451">
        <f>vkm_2011_NGW_PW*SUMIFS(TableVerdeelsleutelVkm[LPG],TableVerdeelsleutelVkm[Voertuigtype],"Lichte voertuigen")*SUMIFS(TableECFTransport[EnergieConsumptieFactor (PJ per km)],TableECFTransport[Index],CONCATENATE($A8,"_LPG_LPG"))</f>
        <v>8.3988685437755631E-4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0.18647849175088385</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6.0580274907390673E-2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7.6908430012578247E-3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1.2111517815431754E-2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3.7001713874499306E-6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3.816090252735802E-4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71.08443966513228</v>
      </c>
      <c r="C14" s="21"/>
      <c r="D14" s="21">
        <f t="shared" ref="D14:M14" si="0">((D5)*10^9/3600)+D12</f>
        <v>169.14543276373553</v>
      </c>
      <c r="E14" s="21">
        <f t="shared" si="0"/>
        <v>646.68336131840704</v>
      </c>
      <c r="F14" s="21"/>
      <c r="G14" s="21">
        <f t="shared" si="0"/>
        <v>203661.32300450417</v>
      </c>
      <c r="H14" s="21">
        <f t="shared" si="0"/>
        <v>45283.374321677082</v>
      </c>
      <c r="I14" s="21"/>
      <c r="J14" s="21"/>
      <c r="K14" s="21"/>
      <c r="L14" s="21"/>
      <c r="M14" s="21">
        <f t="shared" si="0"/>
        <v>7773.2778447749379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0.20037648001686012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14.243649804070078</v>
      </c>
      <c r="C18" s="23"/>
      <c r="D18" s="23">
        <f t="shared" ref="D18:M18" si="1">D14*D16</f>
        <v>34.167377418274576</v>
      </c>
      <c r="E18" s="23">
        <f t="shared" si="1"/>
        <v>146.79712301927842</v>
      </c>
      <c r="F18" s="23"/>
      <c r="G18" s="23">
        <f t="shared" si="1"/>
        <v>54377.573242202619</v>
      </c>
      <c r="H18" s="23">
        <f t="shared" si="1"/>
        <v>11275.560206097593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2.0148520561438926E-2</v>
      </c>
      <c r="H50" s="321">
        <f t="shared" si="2"/>
        <v>0</v>
      </c>
      <c r="I50" s="321">
        <f t="shared" si="2"/>
        <v>0</v>
      </c>
      <c r="J50" s="321">
        <f t="shared" si="2"/>
        <v>0</v>
      </c>
      <c r="K50" s="321">
        <f t="shared" si="2"/>
        <v>0</v>
      </c>
      <c r="L50" s="321">
        <f t="shared" si="2"/>
        <v>0</v>
      </c>
      <c r="M50" s="321">
        <f t="shared" si="2"/>
        <v>6.2496203190653304E-4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2.0148520561438926E-2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6.2496203190653304E-4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5596.8112670663686</v>
      </c>
      <c r="H54" s="21">
        <f t="shared" si="3"/>
        <v>0</v>
      </c>
      <c r="I54" s="21">
        <f t="shared" si="3"/>
        <v>0</v>
      </c>
      <c r="J54" s="21">
        <f t="shared" si="3"/>
        <v>0</v>
      </c>
      <c r="K54" s="21">
        <f t="shared" si="3"/>
        <v>0</v>
      </c>
      <c r="L54" s="21">
        <f t="shared" si="3"/>
        <v>0</v>
      </c>
      <c r="M54" s="21">
        <f t="shared" si="3"/>
        <v>173.60056441848141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0.20037648001686012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1494.3486083067205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23624.279875603024</v>
      </c>
      <c r="C6" s="1210"/>
      <c r="D6" s="1213"/>
      <c r="E6" s="1213"/>
      <c r="F6" s="1216"/>
      <c r="G6" s="1219"/>
      <c r="H6" s="1207"/>
      <c r="I6" s="1213"/>
      <c r="J6" s="1213"/>
      <c r="K6" s="1213"/>
      <c r="L6" s="1243"/>
      <c r="M6" s="575"/>
      <c r="N6" s="1255"/>
      <c r="O6" s="1256"/>
      <c r="Q6" s="573"/>
      <c r="R6" s="1240"/>
      <c r="S6" s="1240"/>
    </row>
    <row r="7" spans="1:19" s="563" customFormat="1">
      <c r="A7" s="576" t="s">
        <v>252</v>
      </c>
      <c r="B7" s="577">
        <f>N57</f>
        <v>23.85</v>
      </c>
      <c r="C7" s="578">
        <f>B100</f>
        <v>28.058823529411768</v>
      </c>
      <c r="D7" s="579"/>
      <c r="E7" s="579">
        <f>E100</f>
        <v>0</v>
      </c>
      <c r="F7" s="580"/>
      <c r="G7" s="581"/>
      <c r="H7" s="579">
        <f>I100</f>
        <v>0</v>
      </c>
      <c r="I7" s="579">
        <f>G100+F100</f>
        <v>0</v>
      </c>
      <c r="J7" s="579">
        <f>H100+D100+C100</f>
        <v>0</v>
      </c>
      <c r="K7" s="579"/>
      <c r="L7" s="582"/>
      <c r="M7" s="583">
        <f>C7*$C$11+D7*$D$11+E7*$E$11+F7*$F$11+G7*$G$11+H7*$H$11+I7*$I$11+J7*$J$11</f>
        <v>5.6678823529411773</v>
      </c>
      <c r="N7" s="1255"/>
      <c r="O7" s="1256"/>
      <c r="Q7" s="573"/>
      <c r="R7" s="1240"/>
      <c r="S7" s="1240"/>
    </row>
    <row r="8" spans="1:19" s="563" customFormat="1" ht="17.45" customHeight="1" thickBot="1">
      <c r="A8" s="584" t="s">
        <v>248</v>
      </c>
      <c r="B8" s="585">
        <f>N88+'Eigen informatie GS &amp; warmtenet'!B12</f>
        <v>495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24143.129875603023</v>
      </c>
      <c r="C9" s="594">
        <f t="shared" ref="C9:L9" si="0">SUM(C7:C8)</f>
        <v>28.058823529411768</v>
      </c>
      <c r="D9" s="594">
        <f t="shared" si="0"/>
        <v>0</v>
      </c>
      <c r="E9" s="594">
        <f t="shared" si="0"/>
        <v>0</v>
      </c>
      <c r="F9" s="594">
        <f t="shared" si="0"/>
        <v>0</v>
      </c>
      <c r="G9" s="594">
        <f t="shared" si="0"/>
        <v>0</v>
      </c>
      <c r="H9" s="594">
        <f t="shared" si="0"/>
        <v>0</v>
      </c>
      <c r="I9" s="594">
        <f t="shared" si="0"/>
        <v>0</v>
      </c>
      <c r="J9" s="594">
        <f t="shared" si="0"/>
        <v>1414.2857142857144</v>
      </c>
      <c r="K9" s="594">
        <f t="shared" si="0"/>
        <v>0</v>
      </c>
      <c r="L9" s="594">
        <f t="shared" si="0"/>
        <v>0</v>
      </c>
      <c r="M9" s="595">
        <f>SUM(M4:M8)</f>
        <v>5.6678823529411773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34.071428571428577</v>
      </c>
      <c r="C16" s="610">
        <f>B101</f>
        <v>40.084033613445385</v>
      </c>
      <c r="D16" s="611"/>
      <c r="E16" s="611">
        <f>E101</f>
        <v>0</v>
      </c>
      <c r="F16" s="612"/>
      <c r="G16" s="613"/>
      <c r="H16" s="610">
        <f>I101</f>
        <v>0</v>
      </c>
      <c r="I16" s="611">
        <f>G101+F101</f>
        <v>0</v>
      </c>
      <c r="J16" s="611">
        <f>H101+D101+C101</f>
        <v>0</v>
      </c>
      <c r="K16" s="611"/>
      <c r="L16" s="614"/>
      <c r="M16" s="615">
        <f>C16*$C$21+E16*$E$21+H16*$H$21+I16*$I$21+J16*$J$21+D16*$D$21+F16*$F$21+G16*$G$21+K16*$K$21+L16*$L$21</f>
        <v>8.0969747899159685</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34.071428571428577</v>
      </c>
      <c r="C19" s="593">
        <f>SUM(C16:C18)</f>
        <v>40.084033613445385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8.0969747899159685</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71053</v>
      </c>
      <c r="C27" s="851">
        <v>3800</v>
      </c>
      <c r="D27" s="672" t="s">
        <v>855</v>
      </c>
      <c r="E27" s="671" t="s">
        <v>856</v>
      </c>
      <c r="F27" s="671" t="s">
        <v>857</v>
      </c>
      <c r="G27" s="671" t="s">
        <v>858</v>
      </c>
      <c r="H27" s="671" t="s">
        <v>859</v>
      </c>
      <c r="I27" s="671" t="s">
        <v>856</v>
      </c>
      <c r="J27" s="850">
        <v>39764</v>
      </c>
      <c r="K27" s="850">
        <v>40238</v>
      </c>
      <c r="L27" s="671" t="s">
        <v>860</v>
      </c>
      <c r="M27" s="671">
        <v>5.3</v>
      </c>
      <c r="N27" s="671">
        <v>23.85</v>
      </c>
      <c r="O27" s="671">
        <v>34.071428571428577</v>
      </c>
      <c r="P27" s="671">
        <v>68.142857142857153</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v>
      </c>
      <c r="N57" s="629">
        <f>SUM(N27:N56)</f>
        <v>23.85</v>
      </c>
      <c r="O57" s="629">
        <f t="shared" ref="O57:W57" si="2">SUM(O27:O56)</f>
        <v>34.071428571428577</v>
      </c>
      <c r="P57" s="629">
        <f t="shared" si="2"/>
        <v>68.142857142857153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5.3</v>
      </c>
      <c r="N59" s="629">
        <f ca="1">SUMIF($Z$27:AB56,"tertiair",N27:N56)</f>
        <v>23.85</v>
      </c>
      <c r="O59" s="629">
        <f ca="1">SUMIF($Z$27:AC56,"tertiair",O27:O56)</f>
        <v>34.071428571428577</v>
      </c>
      <c r="P59" s="629">
        <f ca="1">SUMIF($Z$27:AD56,"tertiair",P27:P56)</f>
        <v>68.142857142857153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71053</v>
      </c>
      <c r="C63" s="851">
        <v>3803</v>
      </c>
      <c r="D63" s="674" t="s">
        <v>861</v>
      </c>
      <c r="E63" s="674" t="s">
        <v>862</v>
      </c>
      <c r="F63" s="674" t="s">
        <v>863</v>
      </c>
      <c r="G63" s="674" t="s">
        <v>864</v>
      </c>
      <c r="H63" s="674" t="s">
        <v>865</v>
      </c>
      <c r="I63" s="674" t="s">
        <v>866</v>
      </c>
      <c r="J63" s="850">
        <v>40606</v>
      </c>
      <c r="K63" s="850">
        <v>40606</v>
      </c>
      <c r="L63" s="674" t="s">
        <v>860</v>
      </c>
      <c r="M63" s="674">
        <v>110</v>
      </c>
      <c r="N63" s="674">
        <v>495</v>
      </c>
      <c r="O63" s="674">
        <v>0</v>
      </c>
      <c r="P63" s="674">
        <v>0</v>
      </c>
      <c r="Q63" s="674">
        <v>1414.2857142857144</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110</v>
      </c>
      <c r="N88" s="629">
        <f t="shared" ref="N88:W88" si="5">SUM(N63:N87)</f>
        <v>495</v>
      </c>
      <c r="O88" s="629">
        <f t="shared" si="5"/>
        <v>0</v>
      </c>
      <c r="P88" s="629">
        <f t="shared" si="5"/>
        <v>0</v>
      </c>
      <c r="Q88" s="629">
        <f t="shared" si="5"/>
        <v>1414.2857142857144</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110</v>
      </c>
      <c r="N90" s="629">
        <f t="shared" ref="N90:W90" si="7">SUMIF($Z$63:$Z$88,"tertiair",N63:N88)</f>
        <v>495</v>
      </c>
      <c r="O90" s="629">
        <f t="shared" si="7"/>
        <v>0</v>
      </c>
      <c r="P90" s="629">
        <f t="shared" si="7"/>
        <v>0</v>
      </c>
      <c r="Q90" s="629">
        <f t="shared" si="7"/>
        <v>1414.2857142857144</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28.058823529411768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40.084033613445385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2019-01-01T21:28:15Z</dcterms:modified>
</cp:coreProperties>
</file>