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M13" i="14" s="1"/>
  <c r="C13" i="15"/>
  <c r="L6" i="17"/>
  <c r="L5" s="1"/>
  <c r="D8"/>
  <c r="N16" i="16"/>
  <c r="B8" i="9"/>
  <c r="B6" i="48" s="1"/>
  <c r="Q6" s="1"/>
  <c r="C16" i="15"/>
  <c r="D10" i="14" s="1"/>
  <c r="I8" i="18"/>
  <c r="J68" i="14" s="1"/>
  <c r="I14" i="15"/>
  <c r="I16" s="1"/>
  <c r="J10" i="14" s="1"/>
  <c r="B13" i="16"/>
  <c r="C35"/>
  <c r="E9" i="14"/>
  <c r="D14" i="15"/>
  <c r="P18" i="16"/>
  <c r="Q13" i="14" s="1"/>
  <c r="N6" i="17"/>
  <c r="N5" s="1"/>
  <c r="J8"/>
  <c r="K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12" i="17"/>
  <c r="K48" i="14" s="1"/>
  <c r="J7" i="48"/>
  <c r="J2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Q41" i="14" l="1"/>
  <c r="Q53" s="1"/>
  <c r="P31" i="48"/>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D31" i="48"/>
  <c r="B22" i="6"/>
  <c r="C16" i="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C17" i="19"/>
  <c r="C19" s="1"/>
  <c r="D35" i="14" s="1"/>
  <c r="C17" i="49"/>
  <c r="N22" i="16"/>
  <c r="O39" i="14" s="1"/>
  <c r="O41" s="1"/>
  <c r="F8" i="48"/>
  <c r="Q4"/>
  <c r="N22"/>
  <c r="R11" i="14"/>
  <c r="J21" i="48"/>
  <c r="R10" i="14"/>
  <c r="C29" i="20" l="1"/>
  <c r="C56" i="22"/>
  <c r="C58" s="1"/>
  <c r="D44" i="14" s="1"/>
  <c r="D46" s="1"/>
  <c r="C10" i="17"/>
  <c r="C12" s="1"/>
  <c r="D48" i="14" s="1"/>
  <c r="F22" i="16"/>
  <c r="G39" i="14" s="1"/>
  <c r="G41"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<sst xmlns="http://schemas.openxmlformats.org/spreadsheetml/2006/main" count="2147" uniqueCount="872">
  <si>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</si>
  <si>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</si>
  <si>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</si>
  <si>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</si>
  <si>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</si>
  <si>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</si>
  <si>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</si>
  <si>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</si>
  <si>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</si>
  <si>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</si>
  <si>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</si>
  <si>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</si>
  <si>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</si>
  <si>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</si>
  <si>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</si>
  <si>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</si>
  <si>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</si>
  <si>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</si>
  <si>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</si>
  <si>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</si>
  <si>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</si>
  <si>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</si>
  <si>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</si>
  <si>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</si>
  <si>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</si>
  <si>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</si>
  <si>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</si>
  <si>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</si>
  <si>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</si>
  <si>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</si>
  <si>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</si>
  <si>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</si>
  <si>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</si>
  <si>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</si>
  <si>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</si>
  <si>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</si>
  <si>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</si>
  <si>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</si>
  <si>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</si>
  <si>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</si>
  <si>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</si>
  <si>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</si>
  <si>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</si>
  <si>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</si>
  <si>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</si>
  <si>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</si>
  <si>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</si>
  <si>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</si>
  <si>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</si>
  <si>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</si>
  <si>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</si>
  <si>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</si>
  <si>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</si>
  <si>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</si>
  <si>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</si>
  <si>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</si>
  <si>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</si>
  <si>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</si>
  <si>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</si>
  <si>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</si>
  <si>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</si>
  <si>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</si>
  <si>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</si>
  <si>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</si>
  <si>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</si>
  <si>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</si>
  <si>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</si>
  <si>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</si>
  <si>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</si>
  <si>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</si>
  <si>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</si>
  <si>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</si>
  <si>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</si>
  <si>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</si>
  <si>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</si>
  <si>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</si>
  <si>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</si>
  <si>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</si>
  <si>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</si>
  <si>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</si>
  <si>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</si>
  <si>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</si>
  <si>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</si>
  <si>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</si>
  <si>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</si>
  <si>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</si>
  <si>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</si>
  <si>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</si>
  <si>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</si>
  <si>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</si>
  <si>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</si>
  <si>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</si>
  <si>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</si>
  <si>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</si>
  <si>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</si>
  <si>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</si>
  <si>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</si>
  <si>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</si>
  <si>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</si>
  <si>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</si>
  <si>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</si>
  <si>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</si>
  <si>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</si>
  <si>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</si>
  <si>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</si>
  <si>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</si>
  <si>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</si>
  <si>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</si>
  <si>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</si>
  <si>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</si>
  <si>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</si>
  <si>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</si>
  <si>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</si>
  <si>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</si>
  <si>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</si>
  <si>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</si>
  <si>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</si>
  <si>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</si>
  <si>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</si>
  <si>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</si>
  <si>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</si>
  <si>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</si>
  <si>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</si>
  <si>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</si>
  <si>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</si>
  <si>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</si>
  <si>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</si>
  <si>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</si>
  <si>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</si>
  <si>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</si>
  <si>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</si>
  <si>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</si>
  <si>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</si>
  <si>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</si>
  <si>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</si>
  <si>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</si>
  <si>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</si>
  <si>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</si>
  <si>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</si>
  <si>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</si>
  <si>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</si>
  <si>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</si>
  <si>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</si>
  <si>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</si>
  <si>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</si>
  <si>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</si>
  <si>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</si>
  <si>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</si>
  <si>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</si>
  <si>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</si>
  <si>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</si>
  <si>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</si>
  <si>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</si>
  <si>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</si>
  <si>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</si>
  <si>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</si>
  <si>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</si>
  <si>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</si>
  <si>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</si>
  <si>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</si>
  <si>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</si>
  <si>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</si>
  <si>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</si>
  <si>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</si>
  <si>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</si>
  <si>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</si>
  <si>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</si>
  <si>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</si>
  <si>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</si>
  <si>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</si>
  <si>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</si>
  <si>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</si>
  <si>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</si>
  <si>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</si>
  <si>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</si>
  <si>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</si>
  <si>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</si>
  <si>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</si>
  <si>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</si>
  <si>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</si>
  <si>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</si>
  <si>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</si>
  <si>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</si>
  <si>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</si>
  <si>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</si>
  <si>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</si>
  <si>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</si>
  <si>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</si>
  <si>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</si>
  <si>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</si>
  <si>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</si>
  <si>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</si>
  <si>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</si>
  <si>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</si>
  <si>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</si>
  <si>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</si>
  <si>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</si>
  <si>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</si>
  <si>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</si>
  <si>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</si>
  <si>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</si>
  <si>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</si>
  <si>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</si>
  <si>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</si>
  <si>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</si>
  <si>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</si>
  <si>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</si>
  <si>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</si>
  <si>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</si>
  <si>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</si>
  <si>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</si>
  <si>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</si>
  <si>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</si>
  <si>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</si>
  <si>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</si>
  <si>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</si>
  <si>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</si>
  <si>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</si>
  <si>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</si>
  <si>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</si>
  <si>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</si>
  <si>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</si>
  <si>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</si>
  <si>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</si>
  <si>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</si>
  <si>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</si>
  <si>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</si>
  <si>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</si>
  <si>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</si>
  <si>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</si>
  <si>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</si>
  <si>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</si>
  <si>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</si>
  <si>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</si>
  <si>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</si>
  <si>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</si>
  <si>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</si>
  <si>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</si>
  <si>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</si>
  <si>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</si>
  <si>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</si>
  <si>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</si>
  <si>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</si>
  <si>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</si>
  <si>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</si>
  <si>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</si>
  <si>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</si>
  <si>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</si>
  <si>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</si>
  <si>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</si>
  <si>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</si>
  <si>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</si>
  <si>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</si>
  <si>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</si>
  <si>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</si>
  <si>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</si>
  <si>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</si>
  <si>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</si>
  <si>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</si>
  <si>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</si>
  <si>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</si>
  <si>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</si>
  <si>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</si>
  <si>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</si>
  <si>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</si>
  <si>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</si>
  <si>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</si>
  <si>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</si>
  <si>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</si>
  <si>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</si>
  <si>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</si>
  <si>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</si>
  <si>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</si>
  <si>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</si>
  <si>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</si>
  <si>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</si>
  <si>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</si>
  <si>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</si>
  <si>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</si>
  <si>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</si>
  <si>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</si>
  <si>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</si>
  <si>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</si>
  <si>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</si>
  <si>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</si>
  <si>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</si>
  <si>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</si>
  <si>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</si>
  <si>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</si>
  <si>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</si>
  <si>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</si>
  <si>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</si>
  <si>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</si>
  <si>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</si>
  <si>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</si>
  <si>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</si>
  <si>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</si>
  <si>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</si>
  <si>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</si>
  <si>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</si>
  <si>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</si>
  <si>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</si>
  <si>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</si>
  <si>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</si>
  <si>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</si>
  <si>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</si>
  <si>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</si>
  <si>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</si>
  <si>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</si>
  <si>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</si>
  <si>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</si>
  <si>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</si>
  <si>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</si>
  <si>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</si>
  <si>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</si>
  <si>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</si>
  <si>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</si>
  <si>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</si>
  <si>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</si>
  <si>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</si>
  <si>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</si>
  <si>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</si>
  <si>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</si>
  <si>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</si>
  <si>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</si>
  <si>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</si>
  <si>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</si>
  <si>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</si>
  <si>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</si>
  <si>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</si>
  <si>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</si>
  <si>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</si>
  <si>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</si>
  <si>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</si>
  <si>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</si>
  <si>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</si>
  <si>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</si>
  <si>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</si>
  <si>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</si>
  <si>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</si>
  <si>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</si>
  <si>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</si>
  <si>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</si>
  <si>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</si>
  <si>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</si>
  <si>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</si>
  <si>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</si>
  <si>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</si>
  <si>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</si>
  <si>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</si>
  <si>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</si>
  <si>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</si>
  <si>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</si>
  <si>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</si>
  <si>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</si>
  <si>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</si>
  <si>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</si>
  <si>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</si>
  <si>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</si>
  <si>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</si>
  <si>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</si>
  <si>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</si>
  <si>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</si>
  <si>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</si>
  <si>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</si>
  <si>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</si>
  <si>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</si>
  <si>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</si>
  <si>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</si>
  <si>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</si>
  <si>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</si>
  <si>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</si>
  <si>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</si>
  <si>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</si>
  <si>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</si>
  <si>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</si>
  <si>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</si>
  <si>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</si>
  <si>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</si>
  <si>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</si>
  <si>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</si>
  <si>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</si>
  <si>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</si>
  <si>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</si>
  <si>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</si>
  <si>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</si>
  <si>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</si>
  <si>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</si>
  <si>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</si>
  <si>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</si>
  <si>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</si>
  <si>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</si>
  <si>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</si>
  <si>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</si>
  <si>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</si>
  <si>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</si>
  <si>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</si>
  <si>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</si>
  <si>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</si>
  <si>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</si>
  <si>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</si>
  <si>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</si>
  <si>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</si>
  <si>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</si>
  <si>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</si>
  <si>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</si>
  <si>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</si>
  <si>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</si>
  <si>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</si>
  <si>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</si>
  <si>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</si>
  <si>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</si>
  <si>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</si>
  <si>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</si>
  <si>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</si>
  <si>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</si>
  <si>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</si>
  <si>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</si>
  <si>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</si>
  <si>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</si>
  <si>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</si>
  <si>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</si>
  <si>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</si>
  <si>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</si>
  <si>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</si>
  <si>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</si>
  <si>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</si>
  <si>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</si>
  <si>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</si>
  <si>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</si>
  <si>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</si>
  <si>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</si>
  <si>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</si>
  <si>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</si>
  <si>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</si>
  <si>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</si>
  <si>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</si>
  <si>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</si>
  <si>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</si>
  <si>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</si>
  <si>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</si>
  <si>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</si>
  <si>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</si>
  <si>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</si>
  <si>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</si>
  <si>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</si>
  <si>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</si>
  <si>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</si>
  <si>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</si>
  <si>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</si>
  <si>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</si>
  <si>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</si>
  <si>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</si>
  <si>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</si>
  <si>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</si>
  <si>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</si>
  <si>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</si>
  <si>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</si>
  <si>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</si>
  <si>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</si>
  <si>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</si>
  <si>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</si>
  <si>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</si>
  <si>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</si>
  <si>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</si>
  <si>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</si>
  <si>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</si>
  <si>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</si>
  <si>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</si>
  <si>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</si>
  <si>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</si>
  <si>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</si>
  <si>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</si>
  <si>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</si>
  <si>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</si>
  <si>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</si>
  <si>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</si>
  <si>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</si>
  <si>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</si>
  <si>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</si>
  <si>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</si>
  <si>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</si>
  <si>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</si>
  <si>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</si>
  <si>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</si>
  <si>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</si>
  <si>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</si>
  <si>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</si>
  <si>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</si>
  <si>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</si>
  <si>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</si>
  <si>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</si>
  <si>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</si>
  <si>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</si>
  <si>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</si>
  <si>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</si>
  <si>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</si>
  <si>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</si>
  <si>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</si>
  <si>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</si>
  <si>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</si>
  <si>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</si>
  <si>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</si>
  <si>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</si>
  <si>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</si>
  <si>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</si>
  <si>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</si>
  <si>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</si>
  <si>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</si>
  <si>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</si>
  <si>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</si>
  <si>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</si>
  <si>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</si>
  <si>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</si>
  <si>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</si>
  <si>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</si>
  <si>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</si>
  <si>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</si>
  <si>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</si>
  <si>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</si>
  <si>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</si>
  <si>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</si>
  <si>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</si>
  <si>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</si>
  <si>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</si>
  <si>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</si>
  <si>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</si>
  <si>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</si>
  <si>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</si>
  <si>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</si>
  <si>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</si>
  <si>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</si>
  <si>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</si>
  <si>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</si>
  <si>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</si>
  <si>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</si>
  <si>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</si>
  <si>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</si>
  <si>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</si>
  <si>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</si>
  <si>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</si>
  <si>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</si>
  <si>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</si>
  <si>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</si>
  <si>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</si>
  <si>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</si>
  <si>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</si>
  <si>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</si>
  <si>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</si>
  <si>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</si>
  <si>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</si>
  <si>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</si>
  <si>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</si>
  <si>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</si>
  <si>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</si>
  <si>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</si>
  <si>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</si>
  <si>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</si>
  <si>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</si>
  <si>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</si>
  <si>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</si>
  <si>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</si>
  <si>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</si>
  <si>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</si>
  <si>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</si>
  <si>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</si>
  <si>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</si>
  <si>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</si>
  <si>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</si>
  <si>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</si>
  <si>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</si>
  <si>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</si>
  <si>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</si>
  <si>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</si>
  <si>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</si>
  <si>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</si>
  <si>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</si>
  <si>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</si>
  <si>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</si>
  <si>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</si>
  <si>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</si>
  <si>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</si>
  <si>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</si>
  <si>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</si>
  <si>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</si>
  <si>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</si>
  <si>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</si>
  <si>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</si>
  <si>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</si>
  <si>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</si>
  <si>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</si>
  <si>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</si>
  <si>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</si>
  <si>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</si>
  <si>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</si>
  <si>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</si>
  <si>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</si>
  <si>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</si>
  <si>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</si>
  <si>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</si>
  <si>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</si>
  <si>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</si>
  <si>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</si>
  <si>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</si>
  <si>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</si>
  <si>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</si>
  <si>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</si>
  <si>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</si>
  <si>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</si>
  <si>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</si>
  <si>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</si>
  <si>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</si>
  <si>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</si>
  <si>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</si>
  <si>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</si>
  <si>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</si>
  <si>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</si>
  <si>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</si>
  <si>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</si>
  <si>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</si>
  <si>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</si>
  <si>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</si>
  <si>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</si>
  <si>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</si>
  <si>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</si>
  <si>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</si>
  <si>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</si>
  <si>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</si>
  <si>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</si>
  <si>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</si>
  <si>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</si>
  <si>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</si>
  <si>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</si>
  <si>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</si>
  <si>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</si>
  <si>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</si>
  <si>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</si>
  <si>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</si>
  <si>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</si>
  <si>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</si>
  <si>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</si>
  <si>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</si>
  <si>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</si>
  <si>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</si>
  <si>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</si>
  <si>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</si>
  <si>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</si>
  <si>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</si>
  <si>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</si>
  <si>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</si>
  <si>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</si>
  <si>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</si>
  <si>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</si>
  <si>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</si>
  <si>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</si>
  <si>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</si>
  <si>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</si>
  <si>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</si>
  <si>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</si>
  <si>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</si>
  <si>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</si>
  <si>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</si>
  <si>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</si>
  <si>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</si>
  <si>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</si>
  <si>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</si>
  <si>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</si>
  <si>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</si>
  <si>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</si>
  <si>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</si>
  <si>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</si>
  <si>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</si>
  <si>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</si>
  <si>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</si>
  <si>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</si>
  <si>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</si>
  <si>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</si>
  <si>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</si>
  <si>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</si>
  <si>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</si>
  <si>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</si>
  <si>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</si>
  <si>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</si>
  <si>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</si>
  <si>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</si>
  <si>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</si>
  <si>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</si>
  <si>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</si>
  <si>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</si>
  <si>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</si>
  <si>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</si>
  <si>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</si>
  <si>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</si>
  <si>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</si>
  <si>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</si>
  <si>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</si>
  <si>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</si>
  <si>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</si>
  <si>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</si>
  <si>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</si>
  <si>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</si>
  <si>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</si>
  <si>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</si>
  <si>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</si>
  <si>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</si>
  <si>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</si>
  <si>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</si>
  <si>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</si>
  <si>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</si>
  <si>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</si>
  <si>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</si>
  <si>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</si>
  <si>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</si>
  <si>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</si>
  <si>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</si>
  <si>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</si>
  <si>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</si>
  <si>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</si>
  <si>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</si>
  <si>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</si>
  <si>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</si>
  <si>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</si>
  <si>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</si>
  <si>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</si>
  <si>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</si>
  <si>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</si>
  <si>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</si>
  <si>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</si>
  <si>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</si>
  <si>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</si>
  <si>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</si>
  <si>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</si>
  <si>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</si>
  <si>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</si>
  <si>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</si>
  <si>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</si>
  <si>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</si>
  <si>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</si>
  <si>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</si>
  <si>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</si>
  <si>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</si>
  <si>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</si>
  <si>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</si>
  <si>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</si>
  <si>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</si>
  <si>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</si>
  <si>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</si>
  <si>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</si>
  <si>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</si>
  <si>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</si>
  <si>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</si>
  <si>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</si>
  <si>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</si>
  <si>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</si>
  <si>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</si>
  <si>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</si>
  <si>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</si>
  <si>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</si>
  <si>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</si>
  <si>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</si>
  <si>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</si>
  <si>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</si>
  <si>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</si>
  <si>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</si>
  <si>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</si>
  <si>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</si>
  <si>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</si>
  <si>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</si>
  <si>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</si>
  <si>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</si>
  <si>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</si>
  <si>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</si>
  <si>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</si>
  <si>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</si>
  <si>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</si>
  <si>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</si>
  <si>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</si>
  <si>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</si>
  <si>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</si>
  <si>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</si>
  <si>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</si>
  <si>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</si>
  <si>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</si>
  <si>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</si>
  <si>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</si>
  <si>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</si>
  <si>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</si>
  <si>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</si>
  <si>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</si>
  <si>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</si>
  <si>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</si>
  <si>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</si>
  <si>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</si>
  <si>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</si>
  <si>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</si>
  <si>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</si>
  <si>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</si>
  <si>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</si>
  <si>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</si>
  <si>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</si>
  <si>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</si>
  <si>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</si>
  <si>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</si>
  <si>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</si>
  <si>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</si>
  <si>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</si>
  <si>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</si>
  <si>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</si>
  <si>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</si>
  <si>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</si>
  <si>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</si>
  <si>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</si>
  <si>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</si>
  <si>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</si>
  <si>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</si>
  <si>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</si>
  <si>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</si>
  <si>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</si>
  <si>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</si>
  <si>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</si>
  <si>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</si>
  <si>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</si>
  <si>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</si>
  <si>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</si>
  <si>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</si>
  <si>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</si>
  <si>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</si>
  <si>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</si>
  <si>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</si>
  <si>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</si>
  <si>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</si>
  <si>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</si>
  <si>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</si>
  <si>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</si>
  <si>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</si>
  <si>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</si>
  <si>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</si>
  <si>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</si>
  <si>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</si>
  <si>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</si>
  <si>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</si>
  <si>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</si>
  <si>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</si>
  <si>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</si>
  <si>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</si>
  <si>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</si>
  <si>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</si>
  <si>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44034</t>
  </si>
  <si>
    <t>LOCHRISTI</t>
  </si>
  <si>
    <t>Paarden&amp;pony's 200 - 600 kg</t>
  </si>
  <si>
    <t>Paarden&amp;pony's &lt; 200 kg</t>
  </si>
  <si>
    <t>referentietaak LNE (2017); Jaarverslag De Lijn (2015)</t>
  </si>
  <si>
    <t>op basis van VEA (maart 2018) en Inventaris Hernieuwbare Energiebronnen (juni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</si>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</sst>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154014.91969348994</c:v>
                </c:pt>
                <c:pt idx="1">
                  <c:v>68574.511238247374</c:v>
                </c:pt>
                <c:pt idx="2">
                  <c:v>1709.807</c:v>
                </c:pt>
                <c:pt idx="3">
                  <c:v>97063.595892153346</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46016"/>
      </c:barChart>
      <c:catAx>
        <c:axId val="183807360"/>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154014.91969348994</c:v>
                </c:pt>
                <c:pt idx="1">
                  <c:v>68574.511238247374</c:v>
                </c:pt>
                <c:pt idx="2">
                  <c:v>1709.807</c:v>
                </c:pt>
                <c:pt idx="3">
                  <c:v>97063.595892153346</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28012.31426366236</c:v>
                </c:pt>
                <c:pt idx="1">
                  <c:v>13473.937964036104</c:v>
                </c:pt>
                <c:pt idx="2">
                  <c:v>323.83525974561815</c:v>
                </c:pt>
                <c:pt idx="3">
                  <c:v>22641.522407671029</c:v>
                </c:pt>
                <c:pt idx="4">
                  <c:v>8239.4287638940295</c:v>
                </c:pt>
                <c:pt idx="5">
                  <c:v>72601.876978842047</c:v>
                </c:pt>
                <c:pt idx="6">
                  <c:v>603.75031458240426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28096"/>
        <c:axId val="184291328"/>
      </c:barChart>
      <c:catAx>
        <c:axId val="184228096"/>
        <c:scaling>
          <c:orientation val="minMax"/>
        </c:scaling>
        <c:axPos val="b"/>
        <c:numFmt formatCode="General" sourceLinked="0"/>
        <c:tickLblPos val="nextTo"/>
        <c:crossAx val="184291328"/>
        <c:crosses val="autoZero"/>
        <c:auto val="1"/>
        <c:lblAlgn val="ctr"/>
        <c:lblOffset val="100"/>
      </c:catAx>
      <c:valAx>
        <c:axId val="184291328"/>
        <c:scaling>
          <c:orientation val="minMax"/>
        </c:scaling>
        <c:axPos val="l"/>
        <c:majorGridlines/>
        <c:numFmt formatCode="#,##0" sourceLinked="1"/>
        <c:tickLblPos val="nextTo"/>
        <c:crossAx val="184228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28012.31426366236</c:v>
                </c:pt>
                <c:pt idx="1">
                  <c:v>13473.937964036104</c:v>
                </c:pt>
                <c:pt idx="2">
                  <c:v>323.83525974561815</c:v>
                </c:pt>
                <c:pt idx="3">
                  <c:v>22641.522407671029</c:v>
                </c:pt>
                <c:pt idx="4">
                  <c:v>8239.4287638940295</c:v>
                </c:pt>
                <c:pt idx="5">
                  <c:v>72601.876978842047</c:v>
                </c:pt>
                <c:pt idx="6">
                  <c:v>603.75031458240426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8656</v>
      </c>
      <c r="C9" s="342">
        <v>9390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3527.41</v>
      </c>
    </row>
    <row r="15" spans="1:6">
      <c r="A15" s="348" t="s">
        <v>184</v>
      </c>
      <c r="B15" s="334">
        <v>67</v>
      </c>
    </row>
    <row r="16" spans="1:6">
      <c r="A16" s="348" t="s">
        <v>6</v>
      </c>
      <c r="B16" s="334">
        <v>2036</v>
      </c>
    </row>
    <row r="17" spans="1:6">
      <c r="A17" s="348" t="s">
        <v>7</v>
      </c>
      <c r="B17" s="334">
        <v>1570</v>
      </c>
    </row>
    <row r="18" spans="1:6">
      <c r="A18" s="348" t="s">
        <v>8</v>
      </c>
      <c r="B18" s="334">
        <v>2639</v>
      </c>
    </row>
    <row r="19" spans="1:6">
      <c r="A19" s="348" t="s">
        <v>9</v>
      </c>
      <c r="B19" s="334">
        <v>2764</v>
      </c>
    </row>
    <row r="20" spans="1:6">
      <c r="A20" s="348" t="s">
        <v>10</v>
      </c>
      <c r="B20" s="334">
        <v>1783</v>
      </c>
    </row>
    <row r="21" spans="1:6">
      <c r="A21" s="348" t="s">
        <v>11</v>
      </c>
      <c r="B21" s="334">
        <v>13990</v>
      </c>
    </row>
    <row r="22" spans="1:6">
      <c r="A22" s="348" t="s">
        <v>12</v>
      </c>
      <c r="B22" s="334">
        <v>11019</v>
      </c>
    </row>
    <row r="23" spans="1:6">
      <c r="A23" s="348" t="s">
        <v>13</v>
      </c>
      <c r="B23" s="334">
        <v>283</v>
      </c>
    </row>
    <row r="24" spans="1:6">
      <c r="A24" s="348" t="s">
        <v>14</v>
      </c>
      <c r="B24" s="334">
        <v>19</v>
      </c>
    </row>
    <row r="25" spans="1:6">
      <c r="A25" s="348" t="s">
        <v>15</v>
      </c>
      <c r="B25" s="334">
        <v>3593</v>
      </c>
    </row>
    <row r="26" spans="1:6">
      <c r="A26" s="348" t="s">
        <v>16</v>
      </c>
      <c r="B26" s="334">
        <v>583</v>
      </c>
    </row>
    <row r="27" spans="1:6">
      <c r="A27" s="348" t="s">
        <v>17</v>
      </c>
      <c r="B27" s="334">
        <v>607</v>
      </c>
    </row>
    <row r="28" spans="1:6" s="356" customFormat="1">
      <c r="A28" s="355" t="s">
        <v>18</v>
      </c>
      <c r="B28" s="355">
        <v>48213</v>
      </c>
    </row>
    <row r="29" spans="1:6">
      <c r="A29" s="355" t="s">
        <v>849</v>
      </c>
      <c r="B29" s="355">
        <v>173</v>
      </c>
      <c r="C29" s="356"/>
      <c r="D29" s="356"/>
      <c r="E29" s="356"/>
      <c r="F29" s="356"/>
    </row>
    <row r="30" spans="1:6">
      <c r="A30" s="355" t="s">
        <v>850</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227145.86629000001</v>
      </c>
      <c r="E38" s="334">
        <v>6</v>
      </c>
      <c r="F38" s="334">
        <v>141194.16837999999</v>
      </c>
    </row>
    <row r="39" spans="1:6">
      <c r="A39" s="348" t="s">
        <v>30</v>
      </c>
      <c r="B39" s="348" t="s">
        <v>31</v>
      </c>
      <c r="C39" s="334">
        <v>5010</v>
      </c>
      <c r="D39" s="334">
        <v>77356247.524000004</v>
      </c>
      <c r="E39" s="334">
        <v>8184</v>
      </c>
      <c r="F39" s="334">
        <v>35811714.464000002</v>
      </c>
    </row>
    <row r="40" spans="1:6">
      <c r="A40" s="348" t="s">
        <v>30</v>
      </c>
      <c r="B40" s="348" t="s">
        <v>29</v>
      </c>
      <c r="C40" s="334">
        <v>0</v>
      </c>
      <c r="D40" s="334">
        <v>0</v>
      </c>
      <c r="E40" s="334">
        <v>0</v>
      </c>
      <c r="F40" s="334">
        <v>0</v>
      </c>
    </row>
    <row r="41" spans="1:6">
      <c r="A41" s="348" t="s">
        <v>32</v>
      </c>
      <c r="B41" s="348" t="s">
        <v>33</v>
      </c>
      <c r="C41" s="334">
        <v>93</v>
      </c>
      <c r="D41" s="334">
        <v>1947052.6828999999</v>
      </c>
      <c r="E41" s="334">
        <v>212</v>
      </c>
      <c r="F41" s="334">
        <v>3314792.3826000001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113416.55862</v>
      </c>
      <c r="E44" s="334">
        <v>25</v>
      </c>
      <c r="F44" s="334">
        <v>512719.27386000002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183680.60823000001</v>
      </c>
      <c r="E47" s="334">
        <v>10</v>
      </c>
      <c r="F47" s="334">
        <v>141363.30510999999</v>
      </c>
    </row>
    <row r="48" spans="1:6">
      <c r="A48" s="348" t="s">
        <v>32</v>
      </c>
      <c r="B48" s="348" t="s">
        <v>29</v>
      </c>
      <c r="C48" s="334">
        <v>21</v>
      </c>
      <c r="D48" s="334">
        <v>23134752.763</v>
      </c>
      <c r="E48" s="334">
        <v>28</v>
      </c>
      <c r="F48" s="334">
        <v>1402185.1998999999</v>
      </c>
    </row>
    <row r="49" spans="1:6">
      <c r="A49" s="348" t="s">
        <v>32</v>
      </c>
      <c r="B49" s="348" t="s">
        <v>40</v>
      </c>
      <c r="C49" s="334">
        <v>0</v>
      </c>
      <c r="D49" s="334">
        <v>0</v>
      </c>
      <c r="E49" s="334">
        <v>0</v>
      </c>
      <c r="F49" s="334">
        <v>0</v>
      </c>
    </row>
    <row r="50" spans="1:6">
      <c r="A50" s="348" t="s">
        <v>32</v>
      </c>
      <c r="B50" s="348" t="s">
        <v>41</v>
      </c>
      <c r="C50" s="334">
        <v>11</v>
      </c>
      <c r="D50" s="334">
        <v>4914521.5324999997</v>
      </c>
      <c r="E50" s="334">
        <v>16</v>
      </c>
      <c r="F50" s="334">
        <v>2258728.7861000001</v>
      </c>
    </row>
    <row r="51" spans="1:6">
      <c r="A51" s="348" t="s">
        <v>42</v>
      </c>
      <c r="B51" s="348" t="s">
        <v>43</v>
      </c>
      <c r="C51" s="334">
        <v>99</v>
      </c>
      <c r="D51" s="334">
        <v>58452399.622000001</v>
      </c>
      <c r="E51" s="334">
        <v>406</v>
      </c>
      <c r="F51" s="334">
        <v>10795956.408</v>
      </c>
    </row>
    <row r="52" spans="1:6">
      <c r="A52" s="348" t="s">
        <v>42</v>
      </c>
      <c r="B52" s="348" t="s">
        <v>29</v>
      </c>
      <c r="C52" s="334">
        <v>8</v>
      </c>
      <c r="D52" s="334">
        <v>141578.88338000001</v>
      </c>
      <c r="E52" s="334">
        <v>7</v>
      </c>
      <c r="F52" s="334">
        <v>96057.125102999998</v>
      </c>
    </row>
    <row r="53" spans="1:6">
      <c r="A53" s="348" t="s">
        <v>44</v>
      </c>
      <c r="B53" s="348" t="s">
        <v>45</v>
      </c>
      <c r="C53" s="334">
        <v>112</v>
      </c>
      <c r="D53" s="334">
        <v>1601698.2368999999</v>
      </c>
      <c r="E53" s="334">
        <v>265</v>
      </c>
      <c r="F53" s="334">
        <v>1189061.0514</v>
      </c>
    </row>
    <row r="54" spans="1:6">
      <c r="A54" s="348" t="s">
        <v>46</v>
      </c>
      <c r="B54" s="348" t="s">
        <v>47</v>
      </c>
      <c r="C54" s="334">
        <v>0</v>
      </c>
      <c r="D54" s="334">
        <v>0</v>
      </c>
      <c r="E54" s="334">
        <v>4</v>
      </c>
      <c r="F54" s="334">
        <v>1709807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6506802.1689999998</v>
      </c>
      <c r="E57" s="334">
        <v>158</v>
      </c>
      <c r="F57" s="334">
        <v>2788839.0326999999</v>
      </c>
    </row>
    <row r="58" spans="1:6">
      <c r="A58" s="348" t="s">
        <v>49</v>
      </c>
      <c r="B58" s="348" t="s">
        <v>51</v>
      </c>
      <c r="C58" s="334">
        <v>23</v>
      </c>
      <c r="D58" s="334">
        <v>726332.31510000001</v>
      </c>
      <c r="E58" s="334">
        <v>51</v>
      </c>
      <c r="F58" s="334">
        <v>1482913.4659</v>
      </c>
    </row>
    <row r="59" spans="1:6">
      <c r="A59" s="348" t="s">
        <v>49</v>
      </c>
      <c r="B59" s="348" t="s">
        <v>52</v>
      </c>
      <c r="C59" s="334">
        <v>147</v>
      </c>
      <c r="D59" s="334">
        <v>8577230.6033999994</v>
      </c>
      <c r="E59" s="334">
        <v>313</v>
      </c>
      <c r="F59" s="334">
        <v>13017308.533</v>
      </c>
    </row>
    <row r="60" spans="1:6">
      <c r="A60" s="348" t="s">
        <v>49</v>
      </c>
      <c r="B60" s="348" t="s">
        <v>53</v>
      </c>
      <c r="C60" s="334">
        <v>68</v>
      </c>
      <c r="D60" s="334">
        <v>3872296.9575</v>
      </c>
      <c r="E60" s="334">
        <v>89</v>
      </c>
      <c r="F60" s="334">
        <v>2405360.2721000002</v>
      </c>
    </row>
    <row r="61" spans="1:6">
      <c r="A61" s="348" t="s">
        <v>49</v>
      </c>
      <c r="B61" s="348" t="s">
        <v>54</v>
      </c>
      <c r="C61" s="334">
        <v>179</v>
      </c>
      <c r="D61" s="334">
        <v>6976777.4889000002</v>
      </c>
      <c r="E61" s="334">
        <v>336</v>
      </c>
      <c r="F61" s="334">
        <v>7582645.7012</v>
      </c>
    </row>
    <row r="62" spans="1:6">
      <c r="A62" s="348" t="s">
        <v>49</v>
      </c>
      <c r="B62" s="348" t="s">
        <v>55</v>
      </c>
      <c r="C62" s="334">
        <v>10</v>
      </c>
      <c r="D62" s="334">
        <v>363848.47181000002</v>
      </c>
      <c r="E62" s="334">
        <v>15</v>
      </c>
      <c r="F62" s="334">
        <v>187838.15239</v>
      </c>
    </row>
    <row r="63" spans="1:6">
      <c r="A63" s="348" t="s">
        <v>49</v>
      </c>
      <c r="B63" s="348" t="s">
        <v>29</v>
      </c>
      <c r="C63" s="334">
        <v>105</v>
      </c>
      <c r="D63" s="334">
        <v>5941936.46</v>
      </c>
      <c r="E63" s="334">
        <v>82</v>
      </c>
      <c r="F63" s="334">
        <v>1500933.3084</v>
      </c>
    </row>
    <row r="64" spans="1:6">
      <c r="A64" s="348" t="s">
        <v>56</v>
      </c>
      <c r="B64" s="348" t="s">
        <v>57</v>
      </c>
      <c r="C64" s="334">
        <v>0</v>
      </c>
      <c r="D64" s="334">
        <v>0</v>
      </c>
      <c r="E64" s="334">
        <v>0</v>
      </c>
      <c r="F64" s="334">
        <v>0</v>
      </c>
    </row>
    <row r="65" spans="1:6">
      <c r="A65" s="348" t="s">
        <v>56</v>
      </c>
      <c r="B65" s="348" t="s">
        <v>29</v>
      </c>
      <c r="C65" s="334">
        <v>3</v>
      </c>
      <c r="D65" s="334">
        <v>91449.088071000006</v>
      </c>
      <c r="E65" s="334">
        <v>4</v>
      </c>
      <c r="F65" s="334">
        <v>7209.8439729000002</v>
      </c>
    </row>
    <row r="66" spans="1:6">
      <c r="A66" s="348" t="s">
        <v>56</v>
      </c>
      <c r="B66" s="348" t="s">
        <v>58</v>
      </c>
      <c r="C66" s="334">
        <v>0</v>
      </c>
      <c r="D66" s="334">
        <v>0</v>
      </c>
      <c r="E66" s="334">
        <v>10</v>
      </c>
      <c r="F66" s="334">
        <v>410426.48307999998</v>
      </c>
    </row>
    <row r="67" spans="1:6">
      <c r="A67" s="355" t="s">
        <v>56</v>
      </c>
      <c r="B67" s="355" t="s">
        <v>59</v>
      </c>
      <c r="C67" s="334">
        <v>0</v>
      </c>
      <c r="D67" s="334">
        <v>0</v>
      </c>
      <c r="E67" s="334">
        <v>0</v>
      </c>
      <c r="F67" s="334">
        <v>0</v>
      </c>
    </row>
    <row r="68" spans="1:6">
      <c r="A68" s="341" t="s">
        <v>56</v>
      </c>
      <c r="B68" s="341" t="s">
        <v>60</v>
      </c>
      <c r="C68" s="334">
        <v>9</v>
      </c>
      <c r="D68" s="334">
        <v>284940.91975</v>
      </c>
      <c r="E68" s="334">
        <v>23</v>
      </c>
      <c r="F68" s="334">
        <v>222046.75698999999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62338738</v>
      </c>
      <c r="E73" s="476">
        <v>61549278.108402386</v>
      </c>
    </row>
    <row r="74" spans="1:6">
      <c r="A74" s="348" t="s">
        <v>64</v>
      </c>
      <c r="B74" s="348" t="s">
        <v>667</v>
      </c>
      <c r="C74" s="1271" t="s">
        <v>669</v>
      </c>
      <c r="D74" s="476">
        <v>7405853.1420836579</v>
      </c>
      <c r="E74" s="476">
        <v>7335910.1746740835</v>
      </c>
    </row>
    <row r="75" spans="1:6">
      <c r="A75" s="348" t="s">
        <v>65</v>
      </c>
      <c r="B75" s="348" t="s">
        <v>666</v>
      </c>
      <c r="C75" s="1271" t="s">
        <v>670</v>
      </c>
      <c r="D75" s="476">
        <v>29419630</v>
      </c>
      <c r="E75" s="476">
        <v>29232857.155358408</v>
      </c>
    </row>
    <row r="76" spans="1:6">
      <c r="A76" s="348" t="s">
        <v>65</v>
      </c>
      <c r="B76" s="348" t="s">
        <v>667</v>
      </c>
      <c r="C76" s="1271" t="s">
        <v>671</v>
      </c>
      <c r="D76" s="476">
        <v>1336265.1420836581</v>
      </c>
      <c r="E76" s="476">
        <v>1314107.016414911</v>
      </c>
    </row>
    <row r="77" spans="1:6">
      <c r="A77" s="348" t="s">
        <v>66</v>
      </c>
      <c r="B77" s="348" t="s">
        <v>666</v>
      </c>
      <c r="C77" s="1271" t="s">
        <v>672</v>
      </c>
      <c r="D77" s="476">
        <v>148636701</v>
      </c>
      <c r="E77" s="476">
        <v>156578407.94098526</v>
      </c>
    </row>
    <row r="78" spans="1:6">
      <c r="A78" s="341" t="s">
        <v>66</v>
      </c>
      <c r="B78" s="341" t="s">
        <v>667</v>
      </c>
      <c r="C78" s="341" t="s">
        <v>673</v>
      </c>
      <c r="D78" s="1272">
        <v>36287928</v>
      </c>
      <c r="E78" s="1272">
        <v>37213875.125712</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626175.71583268361</v>
      </c>
      <c r="C83" s="476">
        <v>626175.71583268361</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7231.334717827337</v>
      </c>
    </row>
    <row r="91" spans="1:6">
      <c r="A91" s="348" t="s">
        <v>68</v>
      </c>
      <c r="B91" s="334">
        <v>5634.8167764947848</v>
      </c>
    </row>
    <row r="92" spans="1:6">
      <c r="A92" s="341" t="s">
        <v>69</v>
      </c>
      <c r="B92" s="342">
        <v>608.40746133153584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81</v>
      </c>
    </row>
    <row r="124" spans="1:6">
      <c r="A124" s="341" t="s">
        <v>89</v>
      </c>
      <c r="B124" s="334">
        <v>5</v>
      </c>
      <c r="C124" s="334">
        <v>3</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90835.312223697489</v>
      </c>
      <c r="C3" s="43" t="s">
        <v>170</v>
      </c>
      <c r="D3" s="43"/>
      <c r="E3" s="154"/>
      <c r="F3" s="43"/>
      <c r="G3" s="43"/>
      <c r="H3" s="43"/>
      <c r="I3" s="43"/>
      <c r="J3" s="43"/>
      <c r="K3" s="96"/>
    </row>
    <row r="4" spans="1:11">
      <c r="A4" s="383" t="s">
        <v>171</v>
      </c>
      <c r="B4" s="49">
        <f>IF(ISERROR('SEAP template'!B69),0,'SEAP template'!B69)</f>
        <v>20547.208955653659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1670.4211764705885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0.18939872146132175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2386.3159663865549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10103.785714285714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0.23618038167738944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1709.807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1709.807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0.18939872146132175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323.83525974561815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35811.714464000004</v>
      </c>
      <c r="C5" s="17">
        <f>IF(ISERROR('Eigen informatie GS &amp; warmtenet'!B57),0,'Eigen informatie GS &amp; warmtenet'!B57)</f>
        <v>0</v>
      </c>
      <c r="D5" s="30">
        <f>(SUM(HH_hh_gas_kWh,HH_rest_gas_kWh)/1000)*0.902</f>
        <v>69775.335266648006</v>
      </c>
      <c r="E5" s="17">
        <f>B46*B57</f>
        <v>5110.6318782829658</v>
      </c>
      <c r="F5" s="17">
        <f>B51*B62</f>
        <v>18380.760589785714</v>
      </c>
      <c r="G5" s="18"/>
      <c r="H5" s="17"/>
      <c r="I5" s="17"/>
      <c r="J5" s="17">
        <f>B50*B61+C50*C61</f>
        <v>0</v>
      </c>
      <c r="K5" s="17"/>
      <c r="L5" s="17"/>
      <c r="M5" s="17"/>
      <c r="N5" s="17">
        <f>B48*B59+C48*C59</f>
        <v>17153.537384945153</v>
      </c>
      <c r="O5" s="17">
        <f>B69*B70*B71</f>
        <v>489.32333333333338</v>
      </c>
      <c r="P5" s="17">
        <f>B77*B78*B79/1000-B77*B78*B79/1000/B80</f>
        <v>1658.8</v>
      </c>
    </row>
    <row r="6" spans="1:16">
      <c r="A6" s="16" t="s">
        <v>624</v>
      </c>
      <c r="B6" s="843">
        <f>kWh_PV_kleiner_dan_10kW</f>
        <v>5634.8167764947848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41446.531240494791</v>
      </c>
      <c r="C8" s="21">
        <f>C5</f>
        <v>0</v>
      </c>
      <c r="D8" s="21">
        <f>D5</f>
        <v>69775.335266648006</v>
      </c>
      <c r="E8" s="21">
        <f>E5</f>
        <v>5110.6318782829658</v>
      </c>
      <c r="F8" s="21">
        <f>F5</f>
        <v>18380.760589785714</v>
      </c>
      <c r="G8" s="21"/>
      <c r="H8" s="21"/>
      <c r="I8" s="21"/>
      <c r="J8" s="21">
        <f>J5</f>
        <v>0</v>
      </c>
      <c r="K8" s="21"/>
      <c r="L8" s="21">
        <f>L5</f>
        <v>0</v>
      </c>
      <c r="M8" s="21">
        <f>M5</f>
        <v>0</v>
      </c>
      <c r="N8" s="21">
        <f>N5</f>
        <v>17153.537384945153</v>
      </c>
      <c r="O8" s="21">
        <f>O5</f>
        <v>489.32333333333338</v>
      </c>
      <c r="P8" s="21">
        <f>P5</f>
        <v>1658.8</v>
      </c>
    </row>
    <row r="9" spans="1:16">
      <c r="B9" s="19"/>
      <c r="C9" s="19"/>
      <c r="D9" s="258"/>
      <c r="E9" s="19"/>
      <c r="F9" s="19"/>
      <c r="G9" s="19"/>
      <c r="H9" s="19"/>
      <c r="I9" s="19"/>
      <c r="J9" s="19"/>
      <c r="K9" s="19"/>
      <c r="L9" s="19"/>
      <c r="M9" s="19"/>
      <c r="N9" s="19"/>
      <c r="O9" s="19"/>
      <c r="P9" s="19"/>
    </row>
    <row r="10" spans="1:16">
      <c r="A10" s="24" t="s">
        <v>214</v>
      </c>
      <c r="B10" s="25">
        <f ca="1">'EF ele_warmte'!B12</f>
        <v>0.18939872146132175</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7849.9200259564432</v>
      </c>
      <c r="C12" s="23">
        <f ca="1">C10*C8</f>
        <v>0</v>
      </c>
      <c r="D12" s="23">
        <f>D8*D10</f>
        <v>14094.617723862899</v>
      </c>
      <c r="E12" s="23">
        <f>E10*E8</f>
        <v>1160.1134363702333</v>
      </c>
      <c r="F12" s="23">
        <f>F10*F8</f>
        <v>4907.6630774727855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698</v>
      </c>
      <c r="B28" s="37">
        <f>aantalHuishoudens2011</f>
        <v>8656</v>
      </c>
      <c r="C28" s="36"/>
      <c r="D28" s="228"/>
    </row>
    <row r="29" spans="1:7" s="15" customFormat="1">
      <c r="A29" s="230" t="s">
        <v>699</v>
      </c>
      <c r="B29" s="37">
        <f>SUM(HH_hh_gas_aantal,HH_rest_gas_aantal)</f>
        <v>5010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5010</v>
      </c>
      <c r="C32" s="167">
        <f>IF(ISERROR(B32/SUM($B$32,$B$34,$B$35,$B$36,$B$38,$B$39)*100),0,B32/SUM($B$32,$B$34,$B$35,$B$36,$B$38,$B$39)*100)</f>
        <v>58.466565526899281</v>
      </c>
      <c r="D32" s="233"/>
      <c r="G32" s="15"/>
    </row>
    <row r="33" spans="1:7">
      <c r="A33" s="171" t="s">
        <v>72</v>
      </c>
      <c r="B33" s="34" t="s">
        <v>111</v>
      </c>
      <c r="C33" s="167"/>
      <c r="D33" s="233"/>
      <c r="G33" s="15"/>
    </row>
    <row r="34" spans="1:7">
      <c r="A34" s="171" t="s">
        <v>73</v>
      </c>
      <c r="B34" s="33">
        <f>IF((($B$28-$B$32-$B$39-$B$77-$B$38)*C20/100)&lt;0,0,($B$28-$B$32-$B$39-$B$77-$B$38)*C20/100)</f>
        <v>225.95531135531135</v>
      </c>
      <c r="C34" s="167">
        <f>IF(ISERROR(B34/SUM($B$32,$B$34,$B$35,$B$36,$B$38,$B$39)*100),0,B34/SUM($B$32,$B$34,$B$35,$B$36,$B$38,$B$39)*100)</f>
        <v>2.6368924186639204</v>
      </c>
      <c r="D34" s="233"/>
      <c r="G34" s="15"/>
    </row>
    <row r="35" spans="1:7">
      <c r="A35" s="171" t="s">
        <v>74</v>
      </c>
      <c r="B35" s="33">
        <f>IF((($B$28-$B$32-$B$39-$B$77-$B$38)*C21/100)&lt;0,0,($B$28-$B$32-$B$39-$B$77-$B$38)*C21/100)</f>
        <v>2310.9065934065934</v>
      </c>
      <c r="C35" s="167">
        <f>IF(ISERROR(B35/SUM($B$32,$B$34,$B$35,$B$36,$B$38,$B$39)*100),0,B35/SUM($B$32,$B$34,$B$35,$B$36,$B$38,$B$39)*100)</f>
        <v>26.96821791815373</v>
      </c>
      <c r="D35" s="233"/>
      <c r="G35" s="15"/>
    </row>
    <row r="36" spans="1:7">
      <c r="A36" s="171" t="s">
        <v>75</v>
      </c>
      <c r="B36" s="33">
        <f>IF((($B$28-$B$32-$B$39-$B$77-$B$38)*C22/100)&lt;0,0,($B$28-$B$32-$B$39-$B$77-$B$38)*C22/100)</f>
        <v>267.03809523809525</v>
      </c>
      <c r="C36" s="167">
        <f>IF(ISERROR(B36/SUM($B$32,$B$34,$B$35,$B$36,$B$38,$B$39)*100),0,B36/SUM($B$32,$B$34,$B$35,$B$36,$B$38,$B$39)*100)</f>
        <v>3.1163274038755429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755.09999999999991</v>
      </c>
      <c r="C39" s="167">
        <f>IF(ISERROR(B39/SUM($B$32,$B$34,$B$35,$B$36,$B$38,$B$39)*100),0,B39/SUM($B$32,$B$34,$B$35,$B$36,$B$38,$B$39)*100)</f>
        <v>8.8119967324075148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5010</v>
      </c>
      <c r="C44" s="34" t="s">
        <v>111</v>
      </c>
      <c r="D44" s="174"/>
    </row>
    <row r="45" spans="1:7">
      <c r="A45" s="171" t="s">
        <v>72</v>
      </c>
      <c r="B45" s="33" t="str">
        <f t="shared" si="0"/>
        <v>-</v>
      </c>
      <c r="C45" s="34" t="s">
        <v>111</v>
      </c>
      <c r="D45" s="174"/>
    </row>
    <row r="46" spans="1:7">
      <c r="A46" s="171" t="s">
        <v>73</v>
      </c>
      <c r="B46" s="33">
        <f t="shared" si="0"/>
        <v>225.95531135531135</v>
      </c>
      <c r="C46" s="34" t="s">
        <v>111</v>
      </c>
      <c r="D46" s="174"/>
    </row>
    <row r="47" spans="1:7">
      <c r="A47" s="171" t="s">
        <v>74</v>
      </c>
      <c r="B47" s="33">
        <f t="shared" si="0"/>
        <v>2310.9065934065934</v>
      </c>
      <c r="C47" s="34" t="s">
        <v>111</v>
      </c>
      <c r="D47" s="174"/>
    </row>
    <row r="48" spans="1:7">
      <c r="A48" s="171" t="s">
        <v>75</v>
      </c>
      <c r="B48" s="33">
        <f t="shared" si="0"/>
        <v>267.03809523809525</v>
      </c>
      <c r="C48" s="33">
        <f>B48*10</f>
        <v>2670.3809523809523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28965.838465689994</v>
      </c>
      <c r="C5" s="17">
        <f>IF(ISERROR('Eigen informatie GS &amp; warmtenet'!B58),0,'Eigen informatie GS &amp; warmtenet'!B58)</f>
        <v>0</v>
      </c>
      <c r="D5" s="30">
        <f>SUM(D6:D12)</f>
        <v>29734.63246807042</v>
      </c>
      <c r="E5" s="17">
        <f>SUM(E6:E12)</f>
        <v>620.85572635719132</v>
      </c>
      <c r="F5" s="17">
        <f>SUM(F6:F12)</f>
        <v>6918.769920800506</v>
      </c>
      <c r="G5" s="18"/>
      <c r="H5" s="17"/>
      <c r="I5" s="17"/>
      <c r="J5" s="17">
        <f>SUM(J6:J12)</f>
        <v>0</v>
      </c>
      <c r="K5" s="17"/>
      <c r="L5" s="17"/>
      <c r="M5" s="17"/>
      <c r="N5" s="17">
        <f>SUM(N6:N12)</f>
        <v>2371.6418001864126</v>
      </c>
      <c r="O5" s="17">
        <f>B38*B39*B40</f>
        <v>1.5633333333333335</v>
      </c>
      <c r="P5" s="17">
        <f>B46*B47*B48/1000-B46*B47*B48/1000/B49</f>
        <v>19.066666666666666</v>
      </c>
      <c r="R5" s="32"/>
    </row>
    <row r="6" spans="1:18">
      <c r="A6" s="32" t="s">
        <v>54</v>
      </c>
      <c r="B6" s="37">
        <f>B26</f>
        <v>7582.6457012000001</v>
      </c>
      <c r="C6" s="33"/>
      <c r="D6" s="37">
        <f>IF(ISERROR(TER_kantoor_gas_kWh/1000),0,TER_kantoor_gas_kWh/1000)*0.902</f>
        <v>6293.0532949878007</v>
      </c>
      <c r="E6" s="33">
        <f>$C$26*'E Balans VL '!I12/100/3.6*1000000</f>
        <v>99.266172693806851</v>
      </c>
      <c r="F6" s="33">
        <f>$C$26*('E Balans VL '!L12+'E Balans VL '!N12)/100/3.6*1000000</f>
        <v>1933.4962976723093</v>
      </c>
      <c r="G6" s="34"/>
      <c r="H6" s="33"/>
      <c r="I6" s="33"/>
      <c r="J6" s="33">
        <f>$C$26*('E Balans VL '!D12+'E Balans VL '!E12)/100/3.6*1000000</f>
        <v>0</v>
      </c>
      <c r="K6" s="33"/>
      <c r="L6" s="33"/>
      <c r="M6" s="33"/>
      <c r="N6" s="33">
        <f>$C$26*'E Balans VL '!Y12/100/3.6*1000000</f>
        <v>7.6081798544509844</v>
      </c>
      <c r="O6" s="33"/>
      <c r="P6" s="33"/>
      <c r="R6" s="32"/>
    </row>
    <row r="7" spans="1:18">
      <c r="A7" s="32" t="s">
        <v>53</v>
      </c>
      <c r="B7" s="37">
        <f t="shared" ref="B7:B12" si="0">B27</f>
        <v>2405.3602721000002</v>
      </c>
      <c r="C7" s="33"/>
      <c r="D7" s="37">
        <f>IF(ISERROR(TER_horeca_gas_kWh/1000),0,TER_horeca_gas_kWh/1000)*0.902</f>
        <v>3492.8118556650002</v>
      </c>
      <c r="E7" s="33">
        <f>$C$27*'E Balans VL '!I9/100/3.6*1000000</f>
        <v>79.602793690796062</v>
      </c>
      <c r="F7" s="33">
        <f>$C$27*('E Balans VL '!L9+'E Balans VL '!N9)/100/3.6*1000000</f>
        <v>1034.2956985458216</v>
      </c>
      <c r="G7" s="34"/>
      <c r="H7" s="33"/>
      <c r="I7" s="33"/>
      <c r="J7" s="33">
        <f>$C$27*('E Balans VL '!D9+'E Balans VL '!E9)/100/3.6*1000000</f>
        <v>0</v>
      </c>
      <c r="K7" s="33"/>
      <c r="L7" s="33"/>
      <c r="M7" s="33"/>
      <c r="N7" s="33">
        <f>$C$27*'E Balans VL '!Y9/100/3.6*1000000</f>
        <v>0.579005147158833</v>
      </c>
      <c r="O7" s="33"/>
      <c r="P7" s="33"/>
      <c r="R7" s="32"/>
    </row>
    <row r="8" spans="1:18">
      <c r="A8" s="6" t="s">
        <v>52</v>
      </c>
      <c r="B8" s="37">
        <f t="shared" si="0"/>
        <v>13017.308532999999</v>
      </c>
      <c r="C8" s="33"/>
      <c r="D8" s="37">
        <f>IF(ISERROR(TER_handel_gas_kWh/1000),0,TER_handel_gas_kWh/1000)*0.902</f>
        <v>7736.6620042668001</v>
      </c>
      <c r="E8" s="33">
        <f>$C$28*'E Balans VL '!I13/100/3.6*1000000</f>
        <v>410.84614715686524</v>
      </c>
      <c r="F8" s="33">
        <f>$C$28*('E Balans VL '!L13+'E Balans VL '!N13)/100/3.6*1000000</f>
        <v>2552.9234238932909</v>
      </c>
      <c r="G8" s="34"/>
      <c r="H8" s="33"/>
      <c r="I8" s="33"/>
      <c r="J8" s="33">
        <f>$C$28*('E Balans VL '!D13+'E Balans VL '!E13)/100/3.6*1000000</f>
        <v>0</v>
      </c>
      <c r="K8" s="33"/>
      <c r="L8" s="33"/>
      <c r="M8" s="33"/>
      <c r="N8" s="33">
        <f>$C$28*'E Balans VL '!Y13/100/3.6*1000000</f>
        <v>15.449017949245375</v>
      </c>
      <c r="O8" s="33"/>
      <c r="P8" s="33"/>
      <c r="R8" s="32"/>
    </row>
    <row r="9" spans="1:18">
      <c r="A9" s="32" t="s">
        <v>51</v>
      </c>
      <c r="B9" s="37">
        <f t="shared" si="0"/>
        <v>1482.9134658999999</v>
      </c>
      <c r="C9" s="33"/>
      <c r="D9" s="37">
        <f>IF(ISERROR(TER_gezond_gas_kWh/1000),0,TER_gezond_gas_kWh/1000)*0.902</f>
        <v>655.15174822020003</v>
      </c>
      <c r="E9" s="33">
        <f>$C$29*'E Balans VL '!I10/100/3.6*1000000</f>
        <v>0.18985630530608694</v>
      </c>
      <c r="F9" s="33">
        <f>$C$29*('E Balans VL '!L10+'E Balans VL '!N10)/100/3.6*1000000</f>
        <v>308.95302954638356</v>
      </c>
      <c r="G9" s="34"/>
      <c r="H9" s="33"/>
      <c r="I9" s="33"/>
      <c r="J9" s="33">
        <f>$C$29*('E Balans VL '!D10+'E Balans VL '!E10)/100/3.6*1000000</f>
        <v>0</v>
      </c>
      <c r="K9" s="33"/>
      <c r="L9" s="33"/>
      <c r="M9" s="33"/>
      <c r="N9" s="33">
        <f>$C$29*'E Balans VL '!Y10/100/3.6*1000000</f>
        <v>17.417519574046118</v>
      </c>
      <c r="O9" s="33"/>
      <c r="P9" s="33"/>
      <c r="R9" s="32"/>
    </row>
    <row r="10" spans="1:18">
      <c r="A10" s="32" t="s">
        <v>50</v>
      </c>
      <c r="B10" s="37">
        <f t="shared" si="0"/>
        <v>2788.8390326999997</v>
      </c>
      <c r="C10" s="33"/>
      <c r="D10" s="37">
        <f>IF(ISERROR(TER_ander_gas_kWh/1000),0,TER_ander_gas_kWh/1000)*0.902</f>
        <v>5869.1355564380001</v>
      </c>
      <c r="E10" s="33">
        <f>$C$30*'E Balans VL '!I14/100/3.6*1000000</f>
        <v>4.1937580662100586</v>
      </c>
      <c r="F10" s="33">
        <f>$C$30*('E Balans VL '!L14+'E Balans VL '!N14)/100/3.6*1000000</f>
        <v>615.68576131787768</v>
      </c>
      <c r="G10" s="34"/>
      <c r="H10" s="33"/>
      <c r="I10" s="33"/>
      <c r="J10" s="33">
        <f>$C$30*('E Balans VL '!D14+'E Balans VL '!E14)/100/3.6*1000000</f>
        <v>0</v>
      </c>
      <c r="K10" s="33"/>
      <c r="L10" s="33"/>
      <c r="M10" s="33"/>
      <c r="N10" s="33">
        <f>$C$30*'E Balans VL '!Y14/100/3.6*1000000</f>
        <v>2197.7928395581926</v>
      </c>
      <c r="O10" s="33"/>
      <c r="P10" s="33"/>
      <c r="R10" s="32"/>
    </row>
    <row r="11" spans="1:18">
      <c r="A11" s="32" t="s">
        <v>55</v>
      </c>
      <c r="B11" s="37">
        <f t="shared" si="0"/>
        <v>187.83815239</v>
      </c>
      <c r="C11" s="33"/>
      <c r="D11" s="37">
        <f>IF(ISERROR(TER_onderwijs_gas_kWh/1000),0,TER_onderwijs_gas_kWh/1000)*0.902</f>
        <v>328.19132157262004</v>
      </c>
      <c r="E11" s="33">
        <f>$C$31*'E Balans VL '!I11/100/3.6*1000000</f>
        <v>0.33079872714155006</v>
      </c>
      <c r="F11" s="33">
        <f>$C$31*('E Balans VL '!L11+'E Balans VL '!N11)/100/3.6*1000000</f>
        <v>86.728273884208917</v>
      </c>
      <c r="G11" s="34"/>
      <c r="H11" s="33"/>
      <c r="I11" s="33"/>
      <c r="J11" s="33">
        <f>$C$31*('E Balans VL '!D11+'E Balans VL '!E11)/100/3.6*1000000</f>
        <v>0</v>
      </c>
      <c r="K11" s="33"/>
      <c r="L11" s="33"/>
      <c r="M11" s="33"/>
      <c r="N11" s="33">
        <f>$C$31*'E Balans VL '!Y11/100/3.6*1000000</f>
        <v>0.34994507547481285</v>
      </c>
      <c r="O11" s="33"/>
      <c r="P11" s="33"/>
      <c r="R11" s="32"/>
    </row>
    <row r="12" spans="1:18">
      <c r="A12" s="32" t="s">
        <v>260</v>
      </c>
      <c r="B12" s="37">
        <f t="shared" si="0"/>
        <v>1500.9333084</v>
      </c>
      <c r="C12" s="33"/>
      <c r="D12" s="37">
        <f>IF(ISERROR(TER_rest_gas_kWh/1000),0,TER_rest_gas_kWh/1000)*0.902</f>
        <v>5359.6266869199999</v>
      </c>
      <c r="E12" s="33">
        <f>$C$32*'E Balans VL '!I8/100/3.6*1000000</f>
        <v>26.426199717065487</v>
      </c>
      <c r="F12" s="33">
        <f>$C$32*('E Balans VL '!L8+'E Balans VL '!N8)/100/3.6*1000000</f>
        <v>386.68743594061391</v>
      </c>
      <c r="G12" s="34"/>
      <c r="H12" s="33"/>
      <c r="I12" s="33"/>
      <c r="J12" s="33">
        <f>$C$32*('E Balans VL '!D8+'E Balans VL '!E8)/100/3.6*1000000</f>
        <v>0</v>
      </c>
      <c r="K12" s="33"/>
      <c r="L12" s="33"/>
      <c r="M12" s="33"/>
      <c r="N12" s="33">
        <f>$C$32*'E Balans VL '!Y8/100/3.6*1000000</f>
        <v>132.44529302784395</v>
      </c>
      <c r="O12" s="33"/>
      <c r="P12" s="33"/>
      <c r="R12" s="32"/>
    </row>
    <row r="13" spans="1:18">
      <c r="A13" s="16" t="s">
        <v>491</v>
      </c>
      <c r="B13" s="247">
        <f ca="1">'lokale energieproductie'!N90+'lokale energieproductie'!N59</f>
        <v>135</v>
      </c>
      <c r="C13" s="247">
        <f ca="1">'lokale energieproductie'!O90+'lokale energieproductie'!O59</f>
        <v>192.85714285714286</v>
      </c>
      <c r="D13" s="310">
        <f ca="1">('lokale energieproductie'!P59+'lokale energieproductie'!P90)*(-1)</f>
        <v>-385.71428571428572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29100.838465689994</v>
      </c>
      <c r="C16" s="21">
        <f t="shared" ca="1" si="1"/>
        <v>192.85714285714286</v>
      </c>
      <c r="D16" s="21">
        <f t="shared" ca="1" si="1"/>
        <v>29348.918182356134</v>
      </c>
      <c r="E16" s="21">
        <f t="shared" si="1"/>
        <v>620.85572635719132</v>
      </c>
      <c r="F16" s="21">
        <f t="shared" ca="1" si="1"/>
        <v>6918.769920800506</v>
      </c>
      <c r="G16" s="21">
        <f t="shared" si="1"/>
        <v>0</v>
      </c>
      <c r="H16" s="21">
        <f t="shared" si="1"/>
        <v>0</v>
      </c>
      <c r="I16" s="21">
        <f t="shared" si="1"/>
        <v>0</v>
      </c>
      <c r="J16" s="21">
        <f t="shared" si="1"/>
        <v>0</v>
      </c>
      <c r="K16" s="21">
        <f t="shared" si="1"/>
        <v>0</v>
      </c>
      <c r="L16" s="21">
        <f t="shared" ca="1" si="1"/>
        <v>0</v>
      </c>
      <c r="M16" s="21">
        <f t="shared" si="1"/>
        <v>0</v>
      </c>
      <c r="N16" s="21">
        <f t="shared" ca="1" si="1"/>
        <v>2371.6418001864126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0.18939872146132175</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5511.6615988541371</v>
      </c>
      <c r="C20" s="23">
        <f t="shared" ref="C20:P20" ca="1" si="2">C16*C18</f>
        <v>45.549073609210822</v>
      </c>
      <c r="D20" s="23">
        <f t="shared" ca="1" si="2"/>
        <v>5928.4814728359397</v>
      </c>
      <c r="E20" s="23">
        <f t="shared" si="2"/>
        <v>140.93424988308243</v>
      </c>
      <c r="F20" s="23">
        <f t="shared" ca="1" si="2"/>
        <v>1847.3115688537353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7582.6457012000001</v>
      </c>
      <c r="C26" s="39">
        <f>IF(ISERROR(B26*3.6/1000000/'E Balans VL '!Z12*100),0,B26*3.6/1000000/'E Balans VL '!Z12*100)</f>
        <v>0.16242616164776708</v>
      </c>
      <c r="D26" s="237" t="s">
        <v>660</v>
      </c>
      <c r="F26" s="6"/>
    </row>
    <row r="27" spans="1:18">
      <c r="A27" s="231" t="s">
        <v>53</v>
      </c>
      <c r="B27" s="33">
        <f>IF(ISERROR(TER_horeca_ele_kWh/1000),0,TER_horeca_ele_kWh/1000)</f>
        <v>2405.3602721000002</v>
      </c>
      <c r="C27" s="39">
        <f>IF(ISERROR(B27*3.6/1000000/'E Balans VL '!Z9*100),0,B27*3.6/1000000/'E Balans VL '!Z9*100)</f>
        <v>0.19302180088906074</v>
      </c>
      <c r="D27" s="237" t="s">
        <v>660</v>
      </c>
      <c r="F27" s="6"/>
    </row>
    <row r="28" spans="1:18">
      <c r="A28" s="171" t="s">
        <v>52</v>
      </c>
      <c r="B28" s="33">
        <f>IF(ISERROR(TER_handel_ele_kWh/1000),0,TER_handel_ele_kWh/1000)</f>
        <v>13017.308532999999</v>
      </c>
      <c r="C28" s="39">
        <f>IF(ISERROR(B28*3.6/1000000/'E Balans VL '!Z13*100),0,B28*3.6/1000000/'E Balans VL '!Z13*100)</f>
        <v>0.38393593741987181</v>
      </c>
      <c r="D28" s="237" t="s">
        <v>660</v>
      </c>
      <c r="F28" s="6"/>
    </row>
    <row r="29" spans="1:18">
      <c r="A29" s="231" t="s">
        <v>51</v>
      </c>
      <c r="B29" s="33">
        <f>IF(ISERROR(TER_gezond_ele_kWh/1000),0,TER_gezond_ele_kWh/1000)</f>
        <v>1482.9134658999999</v>
      </c>
      <c r="C29" s="39">
        <f>IF(ISERROR(B29*3.6/1000000/'E Balans VL '!Z10*100),0,B29*3.6/1000000/'E Balans VL '!Z10*100)</f>
        <v>0.15833539975717145</v>
      </c>
      <c r="D29" s="237" t="s">
        <v>660</v>
      </c>
      <c r="F29" s="6"/>
    </row>
    <row r="30" spans="1:18">
      <c r="A30" s="231" t="s">
        <v>50</v>
      </c>
      <c r="B30" s="33">
        <f>IF(ISERROR(TER_ander_ele_kWh/1000),0,TER_ander_ele_kWh/1000)</f>
        <v>2788.8390326999997</v>
      </c>
      <c r="C30" s="39">
        <f>IF(ISERROR(B30*3.6/1000000/'E Balans VL '!Z14*100),0,B30*3.6/1000000/'E Balans VL '!Z14*100)</f>
        <v>0.21065196346897219</v>
      </c>
      <c r="D30" s="237" t="s">
        <v>660</v>
      </c>
      <c r="F30" s="6"/>
    </row>
    <row r="31" spans="1:18">
      <c r="A31" s="231" t="s">
        <v>55</v>
      </c>
      <c r="B31" s="33">
        <f>IF(ISERROR(TER_onderwijs_ele_kWh/1000),0,TER_onderwijs_ele_kWh/1000)</f>
        <v>187.83815239</v>
      </c>
      <c r="C31" s="39">
        <f>IF(ISERROR(B31*3.6/1000000/'E Balans VL '!Z11*100),0,B31*3.6/1000000/'E Balans VL '!Z11*100)</f>
        <v>3.7930793489492007E-2</v>
      </c>
      <c r="D31" s="237" t="s">
        <v>660</v>
      </c>
    </row>
    <row r="32" spans="1:18">
      <c r="A32" s="231" t="s">
        <v>260</v>
      </c>
      <c r="B32" s="33">
        <f>IF(ISERROR(TER_rest_ele_kWh/1000),0,TER_rest_ele_kWh/1000)</f>
        <v>1500.9333084</v>
      </c>
      <c r="C32" s="39">
        <f>IF(ISERROR(B32*3.6/1000000/'E Balans VL '!Z8*100),0,B32*3.6/1000000/'E Balans VL '!Z8*100)</f>
        <v>1.2444827161190187E-2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7629.7889475699994</v>
      </c>
      <c r="C5" s="17">
        <f>IF(ISERROR('Eigen informatie GS &amp; warmtenet'!B59),0,'Eigen informatie GS &amp; warmtenet'!B59)</f>
        <v>0</v>
      </c>
      <c r="D5" s="30">
        <f>SUM(D6:D15)</f>
        <v>27324.668579015502</v>
      </c>
      <c r="E5" s="17">
        <f>SUM(E6:E15)</f>
        <v>998.43610370069109</v>
      </c>
      <c r="F5" s="17">
        <f>SUM(F6:F15)</f>
        <v>3897.9558337905582</v>
      </c>
      <c r="G5" s="18"/>
      <c r="H5" s="17"/>
      <c r="I5" s="17"/>
      <c r="J5" s="17">
        <f>SUM(J6:J15)</f>
        <v>20.831175370847774</v>
      </c>
      <c r="K5" s="17"/>
      <c r="L5" s="17"/>
      <c r="M5" s="17"/>
      <c r="N5" s="17">
        <f>SUM(N6:N15)</f>
        <v>2449.1003904568538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512.71927386000004</v>
      </c>
      <c r="C8" s="33"/>
      <c r="D8" s="37">
        <f>IF( ISERROR(IND_metaal_Gas_kWH/1000),0,IND_metaal_Gas_kWH/1000)*0.902</f>
        <v>102.30173587524</v>
      </c>
      <c r="E8" s="33">
        <f>C30*'E Balans VL '!I18/100/3.6*1000000</f>
        <v>18.449190554430906</v>
      </c>
      <c r="F8" s="33">
        <f>C30*'E Balans VL '!L18/100/3.6*1000000+C30*'E Balans VL '!N18/100/3.6*1000000</f>
        <v>223.88788632400855</v>
      </c>
      <c r="G8" s="34"/>
      <c r="H8" s="33"/>
      <c r="I8" s="33"/>
      <c r="J8" s="40">
        <f>C30*'E Balans VL '!D18/100/3.6*1000000+C30*'E Balans VL '!E18/100/3.6*1000000</f>
        <v>0</v>
      </c>
      <c r="K8" s="33"/>
      <c r="L8" s="33"/>
      <c r="M8" s="33"/>
      <c r="N8" s="33">
        <f>C30*'E Balans VL '!Y18/100/3.6*1000000</f>
        <v>25.69714157619714</v>
      </c>
      <c r="O8" s="33"/>
      <c r="P8" s="33"/>
      <c r="R8" s="32"/>
    </row>
    <row r="9" spans="1:18">
      <c r="A9" s="6" t="s">
        <v>33</v>
      </c>
      <c r="B9" s="37">
        <f t="shared" si="0"/>
        <v>3314.7923826000001</v>
      </c>
      <c r="C9" s="33"/>
      <c r="D9" s="37">
        <f>IF( ISERROR(IND_andere_gas_kWh/1000),0,IND_andere_gas_kWh/1000)*0.902</f>
        <v>1756.2415199758</v>
      </c>
      <c r="E9" s="33">
        <f>C31*'E Balans VL '!I19/100/3.6*1000000</f>
        <v>845.86001676121191</v>
      </c>
      <c r="F9" s="33">
        <f>C31*'E Balans VL '!L19/100/3.6*1000000+C31*'E Balans VL '!N19/100/3.6*1000000</f>
        <v>2853.7870919370243</v>
      </c>
      <c r="G9" s="34"/>
      <c r="H9" s="33"/>
      <c r="I9" s="33"/>
      <c r="J9" s="40">
        <f>C31*'E Balans VL '!D19/100/3.6*1000000+C31*'E Balans VL '!E19/100/3.6*1000000</f>
        <v>0</v>
      </c>
      <c r="K9" s="33"/>
      <c r="L9" s="33"/>
      <c r="M9" s="33"/>
      <c r="N9" s="33">
        <f>C31*'E Balans VL '!Y19/100/3.6*1000000</f>
        <v>1036.6490978222566</v>
      </c>
      <c r="O9" s="33"/>
      <c r="P9" s="33"/>
      <c r="R9" s="32"/>
    </row>
    <row r="10" spans="1:18">
      <c r="A10" s="6" t="s">
        <v>41</v>
      </c>
      <c r="B10" s="37">
        <f t="shared" si="0"/>
        <v>2258.7287861</v>
      </c>
      <c r="C10" s="33"/>
      <c r="D10" s="37">
        <f>IF( ISERROR(IND_voed_gas_kWh/1000),0,IND_voed_gas_kWh/1000)*0.902</f>
        <v>4432.8984223150001</v>
      </c>
      <c r="E10" s="33">
        <f>C32*'E Balans VL '!I20/100/3.6*1000000</f>
        <v>57.419987231447081</v>
      </c>
      <c r="F10" s="33">
        <f>C32*'E Balans VL '!L20/100/3.6*1000000+C32*'E Balans VL '!N20/100/3.6*1000000</f>
        <v>511.1164178512571</v>
      </c>
      <c r="G10" s="34"/>
      <c r="H10" s="33"/>
      <c r="I10" s="33"/>
      <c r="J10" s="40">
        <f>C32*'E Balans VL '!D20/100/3.6*1000000+C32*'E Balans VL '!E20/100/3.6*1000000</f>
        <v>0</v>
      </c>
      <c r="K10" s="33"/>
      <c r="L10" s="33"/>
      <c r="M10" s="33"/>
      <c r="N10" s="33">
        <f>C32*'E Balans VL '!Y20/100/3.6*1000000</f>
        <v>847.08452003946036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141.36330511</v>
      </c>
      <c r="C13" s="33"/>
      <c r="D13" s="37">
        <f>IF( ISERROR(IND_papier_gas_kWh/1000),0,IND_papier_gas_kWh/1000)*0.902</f>
        <v>165.67990862346002</v>
      </c>
      <c r="E13" s="33">
        <f>C35*'E Balans VL '!I23/100/3.6*1000000</f>
        <v>0.606266090517389</v>
      </c>
      <c r="F13" s="33">
        <f>C35*'E Balans VL '!L23/100/3.6*1000000+C35*'E Balans VL '!N23/100/3.6*1000000</f>
        <v>3.5528986211816416</v>
      </c>
      <c r="G13" s="34"/>
      <c r="H13" s="33"/>
      <c r="I13" s="33"/>
      <c r="J13" s="40">
        <f>C35*'E Balans VL '!D23/100/3.6*1000000+C35*'E Balans VL '!E23/100/3.6*1000000</f>
        <v>9.4634979312805676</v>
      </c>
      <c r="K13" s="33"/>
      <c r="L13" s="33"/>
      <c r="M13" s="33"/>
      <c r="N13" s="33">
        <f>C35*'E Balans VL '!Y23/100/3.6*1000000</f>
        <v>257.31483277674147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1402.1851998999998</v>
      </c>
      <c r="C15" s="33"/>
      <c r="D15" s="37">
        <f>IF( ISERROR(IND_rest_gas_kWh/1000),0,IND_rest_gas_kWh/1000)*0.902</f>
        <v>20867.546992226002</v>
      </c>
      <c r="E15" s="33">
        <f>C37*'E Balans VL '!I15/100/3.6*1000000</f>
        <v>76.100643063083965</v>
      </c>
      <c r="F15" s="33">
        <f>C37*'E Balans VL '!L15/100/3.6*1000000+C37*'E Balans VL '!N15/100/3.6*1000000</f>
        <v>305.6115390570867</v>
      </c>
      <c r="G15" s="34"/>
      <c r="H15" s="33"/>
      <c r="I15" s="33"/>
      <c r="J15" s="40">
        <f>C37*'E Balans VL '!D15/100/3.6*1000000+C37*'E Balans VL '!E15/100/3.6*1000000</f>
        <v>11.367677439567208</v>
      </c>
      <c r="K15" s="33"/>
      <c r="L15" s="33"/>
      <c r="M15" s="33"/>
      <c r="N15" s="33">
        <f>C37*'E Balans VL '!Y15/100/3.6*1000000</f>
        <v>282.35479824219817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7629.7889475699994</v>
      </c>
      <c r="C18" s="21">
        <f>C5+C16</f>
        <v>0</v>
      </c>
      <c r="D18" s="21">
        <f>MAX((D5+D16),0)</f>
        <v>27324.668579015502</v>
      </c>
      <c r="E18" s="21">
        <f>MAX((E5+E16),0)</f>
        <v>998.43610370069109</v>
      </c>
      <c r="F18" s="21">
        <f>MAX((F5+F16),0)</f>
        <v>3897.9558337905582</v>
      </c>
      <c r="G18" s="21"/>
      <c r="H18" s="21"/>
      <c r="I18" s="21"/>
      <c r="J18" s="21">
        <f>MAX((J5+J16),0)</f>
        <v>20.831175370847774</v>
      </c>
      <c r="K18" s="21"/>
      <c r="L18" s="21">
        <f>MAX((L5+L16),0)</f>
        <v>0</v>
      </c>
      <c r="M18" s="21"/>
      <c r="N18" s="21">
        <f>MAX((N5+N16),0)</f>
        <v>2449.1003904568538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0.18939872146132175</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1445.0722716894816</v>
      </c>
      <c r="C22" s="23">
        <f ca="1">C18*C20</f>
        <v>0</v>
      </c>
      <c r="D22" s="23">
        <f>D18*D20</f>
        <v>5519.5830529611321</v>
      </c>
      <c r="E22" s="23">
        <f>E18*E20</f>
        <v>226.6449955400569</v>
      </c>
      <c r="F22" s="23">
        <f>F18*F20</f>
        <v>1040.7542076220791</v>
      </c>
      <c r="G22" s="23"/>
      <c r="H22" s="23"/>
      <c r="I22" s="23"/>
      <c r="J22" s="23">
        <f>J18*J20</f>
        <v>7.3742360812801113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512.71927386000004</v>
      </c>
      <c r="C30" s="39">
        <f>IF(ISERROR(B30*3.6/1000000/'E Balans VL '!Z18*100),0,B30*3.6/1000000/'E Balans VL '!Z18*100)</f>
        <v>0.10863422171941341</v>
      </c>
      <c r="D30" s="237" t="s">
        <v>660</v>
      </c>
    </row>
    <row r="31" spans="1:18">
      <c r="A31" s="6" t="s">
        <v>33</v>
      </c>
      <c r="B31" s="37">
        <f>IF( ISERROR(IND_ander_ele_kWh/1000),0,IND_ander_ele_kWh/1000)</f>
        <v>3314.7923826000001</v>
      </c>
      <c r="C31" s="39">
        <f>IF(ISERROR(B31*3.6/1000000/'E Balans VL '!Z19*100),0,B31*3.6/1000000/'E Balans VL '!Z19*100)</f>
        <v>0.13952713816713092</v>
      </c>
      <c r="D31" s="237" t="s">
        <v>660</v>
      </c>
    </row>
    <row r="32" spans="1:18">
      <c r="A32" s="171" t="s">
        <v>41</v>
      </c>
      <c r="B32" s="37">
        <f>IF( ISERROR(IND_voed_ele_kWh/1000),0,IND_voed_ele_kWh/1000)</f>
        <v>2258.7287861</v>
      </c>
      <c r="C32" s="39">
        <f>IF(ISERROR(B32*3.6/1000000/'E Balans VL '!Z20*100),0,B32*3.6/1000000/'E Balans VL '!Z20*100)</f>
        <v>0.37734619947657966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141.36330511</v>
      </c>
      <c r="C35" s="39">
        <f>IF(ISERROR(B35*3.6/1000000/'E Balans VL '!Z22*100),0,B35*3.6/1000000/'E Balans VL '!Z22*100)</f>
        <v>1.7918561292745327E-2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1402.1851998999998</v>
      </c>
      <c r="C37" s="39">
        <f>IF(ISERROR(B37*3.6/1000000/'E Balans VL '!Z15*100),0,B37*3.6/1000000/'E Balans VL '!Z15*100)</f>
        <v>1.1320384069787578E-2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10892.013533103</v>
      </c>
      <c r="C5" s="17">
        <f>'Eigen informatie GS &amp; warmtenet'!B60</f>
        <v>0</v>
      </c>
      <c r="D5" s="30">
        <f>IF(ISERROR(SUM(LB_lb_gas_kWh,LB_rest_gas_kWh,onbekend_gas_kWh)/1000),0,SUM(LB_lb_gas_kWh,LB_rest_gas_kWh,onbekend_gas_kWh)/1000)*0.902</f>
        <v>54296.500421536562</v>
      </c>
      <c r="E5" s="17">
        <f>B17*'E Balans VL '!I25/3.6*1000000/100</f>
        <v>280.86320852182587</v>
      </c>
      <c r="F5" s="17">
        <f>B17*('E Balans VL '!L25/3.6*1000000+'E Balans VL '!N25/3.6*1000000)/100</f>
        <v>39812.383746706095</v>
      </c>
      <c r="G5" s="18"/>
      <c r="H5" s="17"/>
      <c r="I5" s="17"/>
      <c r="J5" s="17">
        <f>('E Balans VL '!D25+'E Balans VL '!E25)/3.6*1000000*landbouw!B17/100</f>
        <v>1568.0492680001435</v>
      </c>
      <c r="K5" s="17"/>
      <c r="L5" s="17">
        <f>L6*(-1)</f>
        <v>0</v>
      </c>
      <c r="M5" s="17"/>
      <c r="N5" s="17">
        <f>N6*(-1)</f>
        <v>124.71428571428569</v>
      </c>
      <c r="O5" s="17"/>
      <c r="P5" s="17"/>
      <c r="R5" s="32"/>
    </row>
    <row r="6" spans="1:18">
      <c r="A6" s="16" t="s">
        <v>491</v>
      </c>
      <c r="B6" s="17" t="s">
        <v>211</v>
      </c>
      <c r="C6" s="17">
        <f>'lokale energieproductie'!O91+'lokale energieproductie'!O60</f>
        <v>9910.9285714285706</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10892.013533103</v>
      </c>
      <c r="C8" s="21">
        <f>C5+C6</f>
        <v>9910.9285714285706</v>
      </c>
      <c r="D8" s="21">
        <f>MAX((D5+D6),0)</f>
        <v>34599.357564393707</v>
      </c>
      <c r="E8" s="21">
        <f>MAX((E5+E6),0)</f>
        <v>280.86320852182587</v>
      </c>
      <c r="F8" s="21">
        <f>MAX((F5+F6),0)</f>
        <v>39812.383746706095</v>
      </c>
      <c r="G8" s="21"/>
      <c r="H8" s="21"/>
      <c r="I8" s="21"/>
      <c r="J8" s="21">
        <f>MAX((J5+J6),0)</f>
        <v>1568.0492680001435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0.18939872146132175</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2062.9334373091219</v>
      </c>
      <c r="C12" s="23">
        <f ca="1">C8*C10</f>
        <v>2340.7668927773439</v>
      </c>
      <c r="D12" s="23">
        <f>D8*D10</f>
        <v>6989.0702280075293</v>
      </c>
      <c r="E12" s="23">
        <f>E8*E10</f>
        <v>63.755948334454473</v>
      </c>
      <c r="F12" s="23">
        <f>F8*F10</f>
        <v>10629.906460370528</v>
      </c>
      <c r="G12" s="23"/>
      <c r="H12" s="23"/>
      <c r="I12" s="23"/>
      <c r="J12" s="23">
        <f>J8*J10</f>
        <v>555.08944087205077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1.5358460552474216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808.63701313934689</v>
      </c>
      <c r="C26" s="247">
        <f>B26*'GWP N2O_CH4'!B5</f>
        <v>16981.377275926287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227.39740635253503</v>
      </c>
      <c r="C27" s="247">
        <f>B27*'GWP N2O_CH4'!B5</f>
        <v>4775.345533403236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10.807138490987821</v>
      </c>
      <c r="C28" s="247">
        <f>B28*'GWP N2O_CH4'!B4</f>
        <v>3350.2129322062247</v>
      </c>
      <c r="D28" s="50"/>
    </row>
    <row r="29" spans="1:4">
      <c r="A29" s="41" t="s">
        <v>277</v>
      </c>
      <c r="B29" s="247">
        <f>B34*'ha_N2O bodem landbouw'!B4</f>
        <v>23.270608135221561</v>
      </c>
      <c r="C29" s="247">
        <f>B29*'GWP N2O_CH4'!B4</f>
        <v>7213.8885219186841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5.2371513920562518E-3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2.0279893262299811E-4</v>
      </c>
      <c r="C5" s="463" t="s">
        <v>211</v>
      </c>
      <c r="D5" s="448">
        <f>SUM(D6:D11)</f>
        <v>4.526399244072618E-4</v>
      </c>
      <c r="E5" s="448">
        <f>SUM(E6:E11)</f>
        <v>2.0080428610960415E-3</v>
      </c>
      <c r="F5" s="461" t="s">
        <v>211</v>
      </c>
      <c r="G5" s="448">
        <f>SUM(G6:G11)</f>
        <v>0.86020431949667242</v>
      </c>
      <c r="H5" s="448">
        <f>SUM(H6:H11)</f>
        <v>0.12492584323481234</v>
      </c>
      <c r="I5" s="463" t="s">
        <v>211</v>
      </c>
      <c r="J5" s="463" t="s">
        <v>211</v>
      </c>
      <c r="K5" s="463" t="s">
        <v>211</v>
      </c>
      <c r="L5" s="463" t="s">
        <v>211</v>
      </c>
      <c r="M5" s="448">
        <f>SUM(M6:M11)</f>
        <v>3.0842316344939565E-2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5.2589387877439085E-5</v>
      </c>
      <c r="C6" s="449"/>
      <c r="D6" s="962">
        <f>vkm_2011_GW_PW*SUMIFS(TableVerdeelsleutelVkm[CNG],TableVerdeelsleutelVkm[Voertuigtype],"Lichte voertuigen")*SUMIFS(TableECFTransport[EnergieConsumptieFactor (PJ per km)],TableECFTransport[Index],CONCATENATE($A6,"_CNG_CNG"))</f>
        <v>1.0449603489629652E-4</v>
      </c>
      <c r="E6" s="962">
        <f>vkm_2011_GW_PW*SUMIFS(TableVerdeelsleutelVkm[LPG],TableVerdeelsleutelVkm[Voertuigtype],"Lichte voertuigen")*SUMIFS(TableECFTransport[EnergieConsumptieFactor (PJ per km)],TableECFTransport[Index],CONCATENATE($A6,"_LPG_LPG"))</f>
        <v>4.1122935633734162E-4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9.777623083501992E-2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2.8290220340136875E-2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3.9283470300809668E-3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7.0964348830669016E-2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2.2924515808572157E-5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2.2359780508027058E-3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2.4818602091058422E-5</v>
      </c>
      <c r="C8" s="449"/>
      <c r="D8" s="451">
        <f>vkm_2011_NGW_PW*SUMIFS(TableVerdeelsleutelVkm[CNG],TableVerdeelsleutelVkm[Voertuigtype],"Lichte voertuigen")*SUMIFS(TableECFTransport[EnergieConsumptieFactor (PJ per km)],TableECFTransport[Index],CONCATENATE($A8,"_CNG_CNG"))</f>
        <v>8.7318870215020045E-5</v>
      </c>
      <c r="E8" s="451">
        <f>vkm_2011_NGW_PW*SUMIFS(TableVerdeelsleutelVkm[LPG],TableVerdeelsleutelVkm[Voertuigtype],"Lichte voertuigen")*SUMIFS(TableECFTransport[EnergieConsumptieFactor (PJ per km)],TableECFTransport[Index],CONCATENATE($A8,"_LPG_LPG"))</f>
        <v>3.1779801907811837E-4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7.056009386291183E-2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2.2922482070569555E-2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2.9100761109684308E-3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1.6343515247670679E-2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4.9930824865510007E-6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5.1495056344308171E-4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1.2539094265450062E-4</v>
      </c>
      <c r="C10" s="449"/>
      <c r="D10" s="451">
        <f>vkm_2011_SW_PW*SUMIFS(TableVerdeelsleutelVkm[CNG],TableVerdeelsleutelVkm[Voertuigtype],"Lichte voertuigen")*SUMIFS(TableECFTransport[EnergieConsumptieFactor (PJ per km)],TableECFTransport[Index],CONCATENATE($A10,"_CNG_CNG"))</f>
        <v>2.6082501929594522E-4</v>
      </c>
      <c r="E10" s="451">
        <f>vkm_2011_SW_PW*SUMIFS(TableVerdeelsleutelVkm[LPG],TableVerdeelsleutelVkm[Voertuigtype],"Lichte voertuigen")*SUMIFS(TableECFTransport[EnergieConsumptieFactor (PJ per km)],TableECFTransport[Index],CONCATENATE($A10,"_LPG_LPG"))</f>
        <v>1.2790154856805814E-3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0.27241561327539859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7.3569617506616766E-2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1.0787349842025284E-2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0.33214451744500234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1.1560571919403496E-4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1.0465614747619097E-2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56.3330368397217</v>
      </c>
      <c r="C14" s="21"/>
      <c r="D14" s="21">
        <f t="shared" ref="D14:M14" si="0">((D5)*10^9/3600)+D12</f>
        <v>125.73331233535049</v>
      </c>
      <c r="E14" s="21">
        <f t="shared" si="0"/>
        <v>557.78968363778927</v>
      </c>
      <c r="F14" s="21"/>
      <c r="G14" s="21">
        <f t="shared" si="0"/>
        <v>238945.64430463122</v>
      </c>
      <c r="H14" s="21">
        <f t="shared" si="0"/>
        <v>34701.623120781209</v>
      </c>
      <c r="I14" s="21"/>
      <c r="J14" s="21"/>
      <c r="K14" s="21"/>
      <c r="L14" s="21"/>
      <c r="M14" s="21">
        <f t="shared" si="0"/>
        <v>8567.3100958165451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0.18939872146132175</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10.669405153476827</v>
      </c>
      <c r="C18" s="23"/>
      <c r="D18" s="23">
        <f t="shared" ref="D18:M18" si="1">D14*D16</f>
        <v>25.398129091740799</v>
      </c>
      <c r="E18" s="23">
        <f t="shared" si="1"/>
        <v>126.61825818577817</v>
      </c>
      <c r="F18" s="23"/>
      <c r="G18" s="23">
        <f t="shared" si="1"/>
        <v>63798.487029336538</v>
      </c>
      <c r="H18" s="23">
        <f t="shared" si="1"/>
        <v>8640.7041570745205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8.1404536797627536E-3</v>
      </c>
      <c r="H50" s="321">
        <f t="shared" si="2"/>
        <v>0</v>
      </c>
      <c r="I50" s="321">
        <f t="shared" si="2"/>
        <v>0</v>
      </c>
      <c r="J50" s="321">
        <f t="shared" si="2"/>
        <v>0</v>
      </c>
      <c r="K50" s="321">
        <f t="shared" si="2"/>
        <v>0</v>
      </c>
      <c r="L50" s="321">
        <f t="shared" si="2"/>
        <v>0</v>
      </c>
      <c r="M50" s="321">
        <f t="shared" si="2"/>
        <v>2.5249866146907898E-4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8.1404536797627536E-3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2.5249866146907898E-4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2261.2371332674315</v>
      </c>
      <c r="H54" s="21">
        <f t="shared" si="3"/>
        <v>0</v>
      </c>
      <c r="I54" s="21">
        <f t="shared" si="3"/>
        <v>0</v>
      </c>
      <c r="J54" s="21">
        <f t="shared" si="3"/>
        <v>0</v>
      </c>
      <c r="K54" s="21">
        <f t="shared" si="3"/>
        <v>0</v>
      </c>
      <c r="L54" s="21">
        <f t="shared" si="3"/>
        <v>0</v>
      </c>
      <c r="M54" s="21">
        <f t="shared" si="3"/>
        <v>70.138517074744158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0.18939872146132175</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603.75031458240426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7231.334717827337</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6243.2242378263209</v>
      </c>
      <c r="C6" s="1210"/>
      <c r="D6" s="1213"/>
      <c r="E6" s="1213"/>
      <c r="F6" s="1216"/>
      <c r="G6" s="1219"/>
      <c r="H6" s="1207"/>
      <c r="I6" s="1213"/>
      <c r="J6" s="1213"/>
      <c r="K6" s="1213"/>
      <c r="L6" s="1243"/>
      <c r="M6" s="575"/>
      <c r="N6" s="1255"/>
      <c r="O6" s="1256"/>
      <c r="Q6" s="573"/>
      <c r="R6" s="1240"/>
      <c r="S6" s="1240"/>
    </row>
    <row r="7" spans="1:19" s="563" customFormat="1">
      <c r="A7" s="576" t="s">
        <v>252</v>
      </c>
      <c r="B7" s="577">
        <f>N57</f>
        <v>7072.65</v>
      </c>
      <c r="C7" s="578">
        <f>B100</f>
        <v>8269.4117647058829</v>
      </c>
      <c r="D7" s="579"/>
      <c r="E7" s="579">
        <f>E100</f>
        <v>0</v>
      </c>
      <c r="F7" s="580"/>
      <c r="G7" s="581"/>
      <c r="H7" s="579">
        <f>I100</f>
        <v>0</v>
      </c>
      <c r="I7" s="579">
        <f>G100+F100</f>
        <v>0</v>
      </c>
      <c r="J7" s="579">
        <f>H100+D100+C100</f>
        <v>51.35294117647058</v>
      </c>
      <c r="K7" s="579"/>
      <c r="L7" s="582"/>
      <c r="M7" s="583">
        <f>C7*$C$11+D7*$D$11+E7*$E$11+F7*$F$11+G7*$G$11+H7*$H$11+I7*$I$11+J7*$J$11</f>
        <v>1670.4211764705885</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20547.208955653659</v>
      </c>
      <c r="C9" s="594">
        <f t="shared" ref="C9:L9" si="0">SUM(C7:C8)</f>
        <v>8269.4117647058829</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1670.4211764705885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10103.785714285716</v>
      </c>
      <c r="C16" s="610">
        <f>B101</f>
        <v>11813.445378151262</v>
      </c>
      <c r="D16" s="611"/>
      <c r="E16" s="611">
        <f>E101</f>
        <v>0</v>
      </c>
      <c r="F16" s="612"/>
      <c r="G16" s="613"/>
      <c r="H16" s="610">
        <f>I101</f>
        <v>0</v>
      </c>
      <c r="I16" s="611">
        <f>G101+F101</f>
        <v>0</v>
      </c>
      <c r="J16" s="611">
        <f>H101+D101+C101</f>
        <v>73.361344537815114</v>
      </c>
      <c r="K16" s="611"/>
      <c r="L16" s="614"/>
      <c r="M16" s="615">
        <f>C16*$C$21+E16*$E$21+H16*$H$21+I16*$I$21+J16*$J$21+D16*$D$21+F16*$F$21+G16*$G$21+K16*$K$21+L16*$L$21</f>
        <v>2386.3159663865549</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10103.785714285716</v>
      </c>
      <c r="C19" s="593">
        <f>SUM(C16:C18)</f>
        <v>11813.445378151262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2386.3159663865549</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44034</v>
      </c>
      <c r="C27" s="851">
        <v>9080</v>
      </c>
      <c r="D27" s="672" t="s">
        <v>855</v>
      </c>
      <c r="E27" s="671" t="s">
        <v>856</v>
      </c>
      <c r="F27" s="671" t="s">
        <v>857</v>
      </c>
      <c r="G27" s="671" t="s">
        <v>858</v>
      </c>
      <c r="H27" s="671" t="s">
        <v>859</v>
      </c>
      <c r="I27" s="671" t="s">
        <v>860</v>
      </c>
      <c r="J27" s="850">
        <v>40473</v>
      </c>
      <c r="K27" s="850">
        <v>40513</v>
      </c>
      <c r="L27" s="671" t="s">
        <v>861</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63.75">
      <c r="A28" s="624"/>
      <c r="B28" s="851">
        <v>44034</v>
      </c>
      <c r="C28" s="851">
        <v>9080</v>
      </c>
      <c r="D28" s="672" t="s">
        <v>862</v>
      </c>
      <c r="E28" s="671" t="s">
        <v>863</v>
      </c>
      <c r="F28" s="671" t="s">
        <v>864</v>
      </c>
      <c r="G28" s="671" t="s">
        <v>858</v>
      </c>
      <c r="H28" s="671" t="s">
        <v>859</v>
      </c>
      <c r="I28" s="671" t="s">
        <v>863</v>
      </c>
      <c r="J28" s="850">
        <v>40598</v>
      </c>
      <c r="K28" s="850">
        <v>40664</v>
      </c>
      <c r="L28" s="671" t="s">
        <v>861</v>
      </c>
      <c r="M28" s="671">
        <v>30</v>
      </c>
      <c r="N28" s="671">
        <v>135</v>
      </c>
      <c r="O28" s="671">
        <v>192.85714285714286</v>
      </c>
      <c r="P28" s="671">
        <v>385.71428571428572</v>
      </c>
      <c r="Q28" s="671">
        <v>0</v>
      </c>
      <c r="R28" s="671">
        <v>0</v>
      </c>
      <c r="S28" s="671">
        <v>0</v>
      </c>
      <c r="T28" s="671">
        <v>0</v>
      </c>
      <c r="U28" s="671">
        <v>0</v>
      </c>
      <c r="V28" s="671">
        <v>0</v>
      </c>
      <c r="W28" s="671">
        <v>0</v>
      </c>
      <c r="X28" s="671">
        <v>1600</v>
      </c>
      <c r="Y28" s="671" t="s">
        <v>50</v>
      </c>
      <c r="Z28" s="673" t="s">
        <v>156</v>
      </c>
    </row>
    <row r="29" spans="1:26" s="625" customFormat="1" ht="25.5">
      <c r="A29" s="624"/>
      <c r="B29" s="851">
        <v>44034</v>
      </c>
      <c r="C29" s="851">
        <v>9080</v>
      </c>
      <c r="D29" s="672" t="s">
        <v>865</v>
      </c>
      <c r="E29" s="671" t="s">
        <v>866</v>
      </c>
      <c r="F29" s="671" t="s">
        <v>867</v>
      </c>
      <c r="G29" s="671" t="s">
        <v>858</v>
      </c>
      <c r="H29" s="671" t="s">
        <v>859</v>
      </c>
      <c r="I29" s="671" t="s">
        <v>866</v>
      </c>
      <c r="J29" s="850">
        <v>41244</v>
      </c>
      <c r="K29" s="850">
        <v>41255</v>
      </c>
      <c r="L29" s="671" t="s">
        <v>861</v>
      </c>
      <c r="M29" s="671">
        <v>526</v>
      </c>
      <c r="N29" s="671">
        <v>2367</v>
      </c>
      <c r="O29" s="671">
        <v>3381.4285714285716</v>
      </c>
      <c r="P29" s="671">
        <v>6762.8571428571431</v>
      </c>
      <c r="Q29" s="671">
        <v>0</v>
      </c>
      <c r="R29" s="671">
        <v>0</v>
      </c>
      <c r="S29" s="671">
        <v>0</v>
      </c>
      <c r="T29" s="671">
        <v>0</v>
      </c>
      <c r="U29" s="671">
        <v>0</v>
      </c>
      <c r="V29" s="671">
        <v>0</v>
      </c>
      <c r="W29" s="671">
        <v>0</v>
      </c>
      <c r="X29" s="671">
        <v>10</v>
      </c>
      <c r="Y29" s="671" t="s">
        <v>112</v>
      </c>
      <c r="Z29" s="673" t="s">
        <v>112</v>
      </c>
    </row>
    <row r="30" spans="1:26" s="625" customFormat="1" ht="25.5">
      <c r="A30" s="624"/>
      <c r="B30" s="851">
        <v>44034</v>
      </c>
      <c r="C30" s="851">
        <v>9080</v>
      </c>
      <c r="D30" s="672" t="s">
        <v>868</v>
      </c>
      <c r="E30" s="671" t="s">
        <v>869</v>
      </c>
      <c r="F30" s="671" t="s">
        <v>870</v>
      </c>
      <c r="G30" s="671" t="s">
        <v>858</v>
      </c>
      <c r="H30" s="671" t="s">
        <v>859</v>
      </c>
      <c r="I30" s="671" t="s">
        <v>871</v>
      </c>
      <c r="J30" s="850">
        <v>41242</v>
      </c>
      <c r="K30" s="850">
        <v>41275</v>
      </c>
      <c r="L30" s="671" t="s">
        <v>861</v>
      </c>
      <c r="M30" s="671">
        <v>9.6999999999999993</v>
      </c>
      <c r="N30" s="671">
        <v>43.649999999999991</v>
      </c>
      <c r="O30" s="671">
        <v>62.357142857142847</v>
      </c>
      <c r="P30" s="671">
        <v>0</v>
      </c>
      <c r="Q30" s="671">
        <v>124.71428571428569</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1571.7</v>
      </c>
      <c r="N57" s="629">
        <f>SUM(N27:N56)</f>
        <v>7072.65</v>
      </c>
      <c r="O57" s="629">
        <f t="shared" ref="O57:W57" si="2">SUM(O27:O56)</f>
        <v>10103.785714285716</v>
      </c>
      <c r="P57" s="629">
        <f t="shared" si="2"/>
        <v>20082.857142857145</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v>
      </c>
      <c r="N59" s="629">
        <f ca="1">SUMIF($Z$27:AB56,"tertiair",N27:N56)</f>
        <v>135</v>
      </c>
      <c r="O59" s="629">
        <f ca="1">SUMIF($Z$27:AC56,"tertiair",O27:O56)</f>
        <v>192.85714285714286</v>
      </c>
      <c r="P59" s="629">
        <f ca="1">SUMIF($Z$27:AD56,"tertiair",P27:P56)</f>
        <v>385.71428571428572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1541.7</v>
      </c>
      <c r="N60" s="634">
        <f t="shared" ref="N60:W60" si="4">SUMIF($Z$27:$Z$56,"landbouw",N27:N56)</f>
        <v>6937.65</v>
      </c>
      <c r="O60" s="634">
        <f t="shared" si="4"/>
        <v>9910.9285714285706</v>
      </c>
      <c r="P60" s="634">
        <f t="shared" si="4"/>
        <v>19697.142857142859</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8269.4117647058829</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11813.445378151262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30810.645465689995</v>
      </c>
      <c r="D10" s="718">
        <f ca="1">tertiair!C16</f>
        <v>192.85714285714286</v>
      </c>
      <c r="E10" s="718">
        <f ca="1">tertiair!D16</f>
        <v>29348.918182356134</v>
      </c>
      <c r="F10" s="718">
        <f>tertiair!E16</f>
        <v>620.85572635719132</v>
      </c>
      <c r="G10" s="718">
        <f ca="1">tertiair!F16</f>
        <v>6918.769920800506</v>
      </c>
      <c r="H10" s="718">
        <f>tertiair!G16</f>
        <v>0</v>
      </c>
      <c r="I10" s="718">
        <f>tertiair!H16</f>
        <v>0</v>
      </c>
      <c r="J10" s="718">
        <f>tertiair!I16</f>
        <v>0</v>
      </c>
      <c r="K10" s="718">
        <f>tertiair!J16</f>
        <v>0</v>
      </c>
      <c r="L10" s="718">
        <f>tertiair!K16</f>
        <v>0</v>
      </c>
      <c r="M10" s="718">
        <f ca="1">tertiair!L16</f>
        <v>0</v>
      </c>
      <c r="N10" s="718">
        <f>tertiair!M16</f>
        <v>0</v>
      </c>
      <c r="O10" s="718">
        <f ca="1">tertiair!N16</f>
        <v>2371.6418001864126</v>
      </c>
      <c r="P10" s="718">
        <f>tertiair!O16</f>
        <v>1.5633333333333335</v>
      </c>
      <c r="Q10" s="719">
        <f>tertiair!P16</f>
        <v>19.066666666666666</v>
      </c>
      <c r="R10" s="721">
        <f ca="1">SUM(C10:Q10)</f>
        <v>70284.318238247375</v>
      </c>
      <c r="S10" s="67"/>
    </row>
    <row r="11" spans="1:19" s="474" customFormat="1">
      <c r="A11" s="870" t="s">
        <v>225</v>
      </c>
      <c r="B11" s="875"/>
      <c r="C11" s="718">
        <f>huishoudens!B8</f>
        <v>41446.531240494791</v>
      </c>
      <c r="D11" s="718">
        <f>huishoudens!C8</f>
        <v>0</v>
      </c>
      <c r="E11" s="718">
        <f>huishoudens!D8</f>
        <v>69775.335266648006</v>
      </c>
      <c r="F11" s="718">
        <f>huishoudens!E8</f>
        <v>5110.6318782829658</v>
      </c>
      <c r="G11" s="718">
        <f>huishoudens!F8</f>
        <v>18380.760589785714</v>
      </c>
      <c r="H11" s="718">
        <f>huishoudens!G8</f>
        <v>0</v>
      </c>
      <c r="I11" s="718">
        <f>huishoudens!H8</f>
        <v>0</v>
      </c>
      <c r="J11" s="718">
        <f>huishoudens!I8</f>
        <v>0</v>
      </c>
      <c r="K11" s="718">
        <f>huishoudens!J8</f>
        <v>0</v>
      </c>
      <c r="L11" s="718">
        <f>huishoudens!K8</f>
        <v>0</v>
      </c>
      <c r="M11" s="718">
        <f>huishoudens!L8</f>
        <v>0</v>
      </c>
      <c r="N11" s="718">
        <f>huishoudens!M8</f>
        <v>0</v>
      </c>
      <c r="O11" s="718">
        <f>huishoudens!N8</f>
        <v>17153.537384945153</v>
      </c>
      <c r="P11" s="718">
        <f>huishoudens!O8</f>
        <v>489.32333333333338</v>
      </c>
      <c r="Q11" s="719">
        <f>huishoudens!P8</f>
        <v>1658.8</v>
      </c>
      <c r="R11" s="721">
        <f>SUM(C11:Q11)</f>
        <v>154014.91969348994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7629.7889475699994</v>
      </c>
      <c r="D13" s="718">
        <f>industrie!C18</f>
        <v>0</v>
      </c>
      <c r="E13" s="718">
        <f>industrie!D18</f>
        <v>27324.668579015502</v>
      </c>
      <c r="F13" s="718">
        <f>industrie!E18</f>
        <v>998.43610370069109</v>
      </c>
      <c r="G13" s="718">
        <f>industrie!F18</f>
        <v>3897.9558337905582</v>
      </c>
      <c r="H13" s="718">
        <f>industrie!G18</f>
        <v>0</v>
      </c>
      <c r="I13" s="718">
        <f>industrie!H18</f>
        <v>0</v>
      </c>
      <c r="J13" s="718">
        <f>industrie!I18</f>
        <v>0</v>
      </c>
      <c r="K13" s="718">
        <f>industrie!J18</f>
        <v>20.831175370847774</v>
      </c>
      <c r="L13" s="718">
        <f>industrie!K18</f>
        <v>0</v>
      </c>
      <c r="M13" s="718">
        <f>industrie!L18</f>
        <v>0</v>
      </c>
      <c r="N13" s="718">
        <f>industrie!M18</f>
        <v>0</v>
      </c>
      <c r="O13" s="718">
        <f>industrie!N18</f>
        <v>2449.1003904568538</v>
      </c>
      <c r="P13" s="718">
        <f>industrie!O18</f>
        <v>0</v>
      </c>
      <c r="Q13" s="719">
        <f>industrie!P18</f>
        <v>0</v>
      </c>
      <c r="R13" s="721">
        <f>SUM(C13:Q13)</f>
        <v>42320.78102990445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79886.965653754771</v>
      </c>
      <c r="D15" s="723">
        <f t="shared" ref="D15:Q15" ca="1" si="0">SUM(D9:D14)</f>
        <v>192.85714285714286</v>
      </c>
      <c r="E15" s="723">
        <f t="shared" ca="1" si="0"/>
        <v>126448.92202801965</v>
      </c>
      <c r="F15" s="723">
        <f t="shared" si="0"/>
        <v>6729.923708340848</v>
      </c>
      <c r="G15" s="723">
        <f t="shared" ca="1" si="0"/>
        <v>29197.486344376779</v>
      </c>
      <c r="H15" s="723">
        <f t="shared" si="0"/>
        <v>0</v>
      </c>
      <c r="I15" s="723">
        <f t="shared" si="0"/>
        <v>0</v>
      </c>
      <c r="J15" s="723">
        <f t="shared" si="0"/>
        <v>0</v>
      </c>
      <c r="K15" s="723">
        <f t="shared" si="0"/>
        <v>20.831175370847774</v>
      </c>
      <c r="L15" s="723">
        <f t="shared" si="0"/>
        <v>0</v>
      </c>
      <c r="M15" s="723">
        <f t="shared" ca="1" si="0"/>
        <v>0</v>
      </c>
      <c r="N15" s="723">
        <f t="shared" si="0"/>
        <v>0</v>
      </c>
      <c r="O15" s="723">
        <f t="shared" ca="1" si="0"/>
        <v>21974.279575588418</v>
      </c>
      <c r="P15" s="723">
        <f t="shared" si="0"/>
        <v>490.88666666666671</v>
      </c>
      <c r="Q15" s="724">
        <f t="shared" si="0"/>
        <v>1677.8666666666666</v>
      </c>
      <c r="R15" s="725">
        <f ca="1">SUM(R9:R14)</f>
        <v>266620.01896164176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2261.2371332674315</v>
      </c>
      <c r="I18" s="718">
        <f>transport!H54</f>
        <v>0</v>
      </c>
      <c r="J18" s="718">
        <f>transport!I54</f>
        <v>0</v>
      </c>
      <c r="K18" s="718">
        <f>transport!J54</f>
        <v>0</v>
      </c>
      <c r="L18" s="718">
        <f>transport!K54</f>
        <v>0</v>
      </c>
      <c r="M18" s="718">
        <f>transport!L54</f>
        <v>0</v>
      </c>
      <c r="N18" s="718">
        <f>transport!M54</f>
        <v>70.138517074744158</v>
      </c>
      <c r="O18" s="718">
        <f>transport!N54</f>
        <v>0</v>
      </c>
      <c r="P18" s="718">
        <f>transport!O54</f>
        <v>0</v>
      </c>
      <c r="Q18" s="719">
        <f>transport!P54</f>
        <v>0</v>
      </c>
      <c r="R18" s="721">
        <f>SUM(C18:Q18)</f>
        <v>2331.3756503421755</v>
      </c>
      <c r="S18" s="67"/>
    </row>
    <row r="19" spans="1:19" s="474" customFormat="1" ht="15" thickBot="1">
      <c r="A19" s="870" t="s">
        <v>307</v>
      </c>
      <c r="B19" s="875"/>
      <c r="C19" s="727">
        <f>transport!B14</f>
        <v>56.3330368397217</v>
      </c>
      <c r="D19" s="727">
        <f>transport!C14</f>
        <v>0</v>
      </c>
      <c r="E19" s="727">
        <f>transport!D14</f>
        <v>125.73331233535049</v>
      </c>
      <c r="F19" s="727">
        <f>transport!E14</f>
        <v>557.78968363778927</v>
      </c>
      <c r="G19" s="727">
        <f>transport!F14</f>
        <v>0</v>
      </c>
      <c r="H19" s="727">
        <f>transport!G14</f>
        <v>238945.64430463122</v>
      </c>
      <c r="I19" s="727">
        <f>transport!H14</f>
        <v>34701.623120781209</v>
      </c>
      <c r="J19" s="727">
        <f>transport!I14</f>
        <v>0</v>
      </c>
      <c r="K19" s="727">
        <f>transport!J14</f>
        <v>0</v>
      </c>
      <c r="L19" s="727">
        <f>transport!K14</f>
        <v>0</v>
      </c>
      <c r="M19" s="727">
        <f>transport!L14</f>
        <v>0</v>
      </c>
      <c r="N19" s="727">
        <f>transport!M14</f>
        <v>8567.3100958165451</v>
      </c>
      <c r="O19" s="727">
        <f>transport!N14</f>
        <v>0</v>
      </c>
      <c r="P19" s="727">
        <f>transport!O14</f>
        <v>0</v>
      </c>
      <c r="Q19" s="728">
        <f>transport!P14</f>
        <v>0</v>
      </c>
      <c r="R19" s="729">
        <f>SUM(C19:Q19)</f>
        <v>282954.43355404184</v>
      </c>
      <c r="S19" s="67"/>
    </row>
    <row r="20" spans="1:19" s="474" customFormat="1" ht="15.75" thickBot="1">
      <c r="A20" s="730" t="s">
        <v>230</v>
      </c>
      <c r="B20" s="878"/>
      <c r="C20" s="873">
        <f>SUM(C17:C19)</f>
        <v>56.3330368397217</v>
      </c>
      <c r="D20" s="731">
        <f t="shared" ref="D20:R20" si="1">SUM(D17:D19)</f>
        <v>0</v>
      </c>
      <c r="E20" s="731">
        <f t="shared" si="1"/>
        <v>125.73331233535049</v>
      </c>
      <c r="F20" s="731">
        <f t="shared" si="1"/>
        <v>557.78968363778927</v>
      </c>
      <c r="G20" s="731">
        <f t="shared" si="1"/>
        <v>0</v>
      </c>
      <c r="H20" s="731">
        <f t="shared" si="1"/>
        <v>241206.88143789864</v>
      </c>
      <c r="I20" s="731">
        <f t="shared" si="1"/>
        <v>34701.623120781209</v>
      </c>
      <c r="J20" s="731">
        <f t="shared" si="1"/>
        <v>0</v>
      </c>
      <c r="K20" s="731">
        <f t="shared" si="1"/>
        <v>0</v>
      </c>
      <c r="L20" s="731">
        <f t="shared" si="1"/>
        <v>0</v>
      </c>
      <c r="M20" s="731">
        <f t="shared" si="1"/>
        <v>0</v>
      </c>
      <c r="N20" s="731">
        <f t="shared" si="1"/>
        <v>8637.4486128912886</v>
      </c>
      <c r="O20" s="731">
        <f t="shared" si="1"/>
        <v>0</v>
      </c>
      <c r="P20" s="731">
        <f t="shared" si="1"/>
        <v>0</v>
      </c>
      <c r="Q20" s="732">
        <f t="shared" si="1"/>
        <v>0</v>
      </c>
      <c r="R20" s="733">
        <f t="shared" si="1"/>
        <v>285285.80920438399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10892.013533103</v>
      </c>
      <c r="D22" s="727">
        <f>+landbouw!C8</f>
        <v>9910.9285714285706</v>
      </c>
      <c r="E22" s="727">
        <f>+landbouw!D8</f>
        <v>34599.357564393707</v>
      </c>
      <c r="F22" s="727">
        <f>+landbouw!E8</f>
        <v>280.86320852182587</v>
      </c>
      <c r="G22" s="727">
        <f>+landbouw!F8</f>
        <v>39812.383746706095</v>
      </c>
      <c r="H22" s="727">
        <f>+landbouw!G8</f>
        <v>0</v>
      </c>
      <c r="I22" s="727">
        <f>+landbouw!H8</f>
        <v>0</v>
      </c>
      <c r="J22" s="727">
        <f>+landbouw!I8</f>
        <v>0</v>
      </c>
      <c r="K22" s="727">
        <f>+landbouw!J8</f>
        <v>1568.0492680001435</v>
      </c>
      <c r="L22" s="727">
        <f>+landbouw!K8</f>
        <v>0</v>
      </c>
      <c r="M22" s="727">
        <f>+landbouw!L8</f>
        <v>0</v>
      </c>
      <c r="N22" s="727">
        <f>+landbouw!M8</f>
        <v>0</v>
      </c>
      <c r="O22" s="727">
        <f>+landbouw!N8</f>
        <v>0</v>
      </c>
      <c r="P22" s="727">
        <f>+landbouw!O8</f>
        <v>0</v>
      </c>
      <c r="Q22" s="728">
        <f>+landbouw!P8</f>
        <v>0</v>
      </c>
      <c r="R22" s="729">
        <f>SUM(C22:Q22)</f>
        <v>97063.595892153346</v>
      </c>
      <c r="S22" s="67"/>
    </row>
    <row r="23" spans="1:19" s="474" customFormat="1" ht="17.25" thickTop="1" thickBot="1">
      <c r="A23" s="734" t="s">
        <v>116</v>
      </c>
      <c r="B23" s="864"/>
      <c r="C23" s="735">
        <f ca="1">C20+C15+C22</f>
        <v>90835.312223697489</v>
      </c>
      <c r="D23" s="735">
        <f t="shared" ref="D23:Q23" ca="1" si="2">D20+D15+D22</f>
        <v>10103.785714285714</v>
      </c>
      <c r="E23" s="735">
        <f t="shared" ca="1" si="2"/>
        <v>161174.0129047487</v>
      </c>
      <c r="F23" s="735">
        <f t="shared" si="2"/>
        <v>7568.5766005004634</v>
      </c>
      <c r="G23" s="735">
        <f t="shared" ca="1" si="2"/>
        <v>69009.870091082877</v>
      </c>
      <c r="H23" s="735">
        <f t="shared" si="2"/>
        <v>241206.88143789864</v>
      </c>
      <c r="I23" s="735">
        <f t="shared" si="2"/>
        <v>34701.623120781209</v>
      </c>
      <c r="J23" s="735">
        <f t="shared" si="2"/>
        <v>0</v>
      </c>
      <c r="K23" s="735">
        <f t="shared" si="2"/>
        <v>1588.8804433709913</v>
      </c>
      <c r="L23" s="735">
        <f t="shared" si="2"/>
        <v>0</v>
      </c>
      <c r="M23" s="735">
        <f t="shared" ca="1" si="2"/>
        <v>0</v>
      </c>
      <c r="N23" s="735">
        <f t="shared" si="2"/>
        <v>8637.4486128912886</v>
      </c>
      <c r="O23" s="735">
        <f t="shared" ca="1" si="2"/>
        <v>21974.279575588418</v>
      </c>
      <c r="P23" s="735">
        <f t="shared" si="2"/>
        <v>490.88666666666671</v>
      </c>
      <c r="Q23" s="736">
        <f t="shared" si="2"/>
        <v>1677.8666666666666</v>
      </c>
      <c r="R23" s="737">
        <f ca="1">R20+R15+R22</f>
        <v>648969.42405817902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5835.4968585997549</v>
      </c>
      <c r="D36" s="718">
        <f ca="1">tertiair!C20</f>
        <v>45.549073609210822</v>
      </c>
      <c r="E36" s="718">
        <f ca="1">tertiair!D20</f>
        <v>5928.4814728359397</v>
      </c>
      <c r="F36" s="718">
        <f>tertiair!E20</f>
        <v>140.93424988308243</v>
      </c>
      <c r="G36" s="718">
        <f ca="1">tertiair!F20</f>
        <v>1847.3115688537353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13797.773223781722</v>
      </c>
    </row>
    <row r="37" spans="1:18">
      <c r="A37" s="885" t="s">
        <v>225</v>
      </c>
      <c r="B37" s="892"/>
      <c r="C37" s="718">
        <f ca="1">huishoudens!B12</f>
        <v>7849.9200259564432</v>
      </c>
      <c r="D37" s="718">
        <f ca="1">huishoudens!C12</f>
        <v>0</v>
      </c>
      <c r="E37" s="718">
        <f>huishoudens!D12</f>
        <v>14094.617723862899</v>
      </c>
      <c r="F37" s="718">
        <f>huishoudens!E12</f>
        <v>1160.1134363702333</v>
      </c>
      <c r="G37" s="718">
        <f>huishoudens!F12</f>
        <v>4907.6630774727855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28012.31426366236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1445.0722716894816</v>
      </c>
      <c r="D39" s="718">
        <f ca="1">industrie!C22</f>
        <v>0</v>
      </c>
      <c r="E39" s="718">
        <f>industrie!D22</f>
        <v>5519.5830529611321</v>
      </c>
      <c r="F39" s="718">
        <f>industrie!E22</f>
        <v>226.6449955400569</v>
      </c>
      <c r="G39" s="718">
        <f>industrie!F22</f>
        <v>1040.7542076220791</v>
      </c>
      <c r="H39" s="718">
        <f>industrie!G22</f>
        <v>0</v>
      </c>
      <c r="I39" s="718">
        <f>industrie!H22</f>
        <v>0</v>
      </c>
      <c r="J39" s="718">
        <f>industrie!I22</f>
        <v>0</v>
      </c>
      <c r="K39" s="718">
        <f>industrie!J22</f>
        <v>7.3742360812801113</v>
      </c>
      <c r="L39" s="718">
        <f>industrie!K22</f>
        <v>0</v>
      </c>
      <c r="M39" s="718">
        <f>industrie!L22</f>
        <v>0</v>
      </c>
      <c r="N39" s="718">
        <f>industrie!M22</f>
        <v>0</v>
      </c>
      <c r="O39" s="718">
        <f>industrie!N22</f>
        <v>0</v>
      </c>
      <c r="P39" s="718">
        <f>industrie!O22</f>
        <v>0</v>
      </c>
      <c r="Q39" s="828">
        <f>industrie!P22</f>
        <v>0</v>
      </c>
      <c r="R39" s="918">
        <f ca="1">SUM(C39:Q39)</f>
        <v>8239.4287638940295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15130.48915624568</v>
      </c>
      <c r="D41" s="763">
        <f t="shared" ref="D41:R41" ca="1" si="4">SUM(D35:D40)</f>
        <v>45.549073609210822</v>
      </c>
      <c r="E41" s="763">
        <f t="shared" ca="1" si="4"/>
        <v>25542.682249659971</v>
      </c>
      <c r="F41" s="763">
        <f t="shared" si="4"/>
        <v>1527.6926817933727</v>
      </c>
      <c r="G41" s="763">
        <f t="shared" ca="1" si="4"/>
        <v>7795.7288539485999</v>
      </c>
      <c r="H41" s="763">
        <f t="shared" si="4"/>
        <v>0</v>
      </c>
      <c r="I41" s="763">
        <f t="shared" si="4"/>
        <v>0</v>
      </c>
      <c r="J41" s="763">
        <f t="shared" si="4"/>
        <v>0</v>
      </c>
      <c r="K41" s="763">
        <f t="shared" si="4"/>
        <v>7.3742360812801113</v>
      </c>
      <c r="L41" s="763">
        <f t="shared" si="4"/>
        <v>0</v>
      </c>
      <c r="M41" s="763">
        <f t="shared" ca="1" si="4"/>
        <v>0</v>
      </c>
      <c r="N41" s="763">
        <f t="shared" si="4"/>
        <v>0</v>
      </c>
      <c r="O41" s="763">
        <f t="shared" ca="1" si="4"/>
        <v>0</v>
      </c>
      <c r="P41" s="763">
        <f t="shared" si="4"/>
        <v>0</v>
      </c>
      <c r="Q41" s="764">
        <f t="shared" si="4"/>
        <v>0</v>
      </c>
      <c r="R41" s="765">
        <f t="shared" ca="1" si="4"/>
        <v>50049.516251338107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603.75031458240426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603.75031458240426</v>
      </c>
    </row>
    <row r="45" spans="1:18" ht="15" thickBot="1">
      <c r="A45" s="888" t="s">
        <v>307</v>
      </c>
      <c r="B45" s="898"/>
      <c r="C45" s="727">
        <f ca="1">transport!B18</f>
        <v>10.669405153476827</v>
      </c>
      <c r="D45" s="727">
        <f>transport!C18</f>
        <v>0</v>
      </c>
      <c r="E45" s="727">
        <f>transport!D18</f>
        <v>25.398129091740799</v>
      </c>
      <c r="F45" s="727">
        <f>transport!E18</f>
        <v>126.61825818577817</v>
      </c>
      <c r="G45" s="727">
        <f>transport!F18</f>
        <v>0</v>
      </c>
      <c r="H45" s="727">
        <f>transport!G18</f>
        <v>63798.487029336538</v>
      </c>
      <c r="I45" s="727">
        <f>transport!H18</f>
        <v>8640.7041570745205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72601.876978842047</v>
      </c>
    </row>
    <row r="46" spans="1:18" ht="15.75" thickBot="1">
      <c r="A46" s="886" t="s">
        <v>230</v>
      </c>
      <c r="B46" s="899"/>
      <c r="C46" s="763">
        <f t="shared" ref="C46:R46" ca="1" si="5">SUM(C43:C45)</f>
        <v>10.669405153476827</v>
      </c>
      <c r="D46" s="763">
        <f t="shared" ca="1" si="5"/>
        <v>0</v>
      </c>
      <c r="E46" s="763">
        <f t="shared" si="5"/>
        <v>25.398129091740799</v>
      </c>
      <c r="F46" s="763">
        <f t="shared" si="5"/>
        <v>126.61825818577817</v>
      </c>
      <c r="G46" s="763">
        <f t="shared" si="5"/>
        <v>0</v>
      </c>
      <c r="H46" s="763">
        <f t="shared" si="5"/>
        <v>64402.23734391894</v>
      </c>
      <c r="I46" s="763">
        <f t="shared" si="5"/>
        <v>8640.7041570745205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73205.627293424448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2062.9334373091219</v>
      </c>
      <c r="D48" s="718">
        <f ca="1">+landbouw!C12</f>
        <v>2340.7668927773439</v>
      </c>
      <c r="E48" s="718">
        <f>+landbouw!D12</f>
        <v>6989.0702280075293</v>
      </c>
      <c r="F48" s="718">
        <f>+landbouw!E12</f>
        <v>63.755948334454473</v>
      </c>
      <c r="G48" s="718">
        <f>+landbouw!F12</f>
        <v>10629.906460370528</v>
      </c>
      <c r="H48" s="718">
        <f>+landbouw!G12</f>
        <v>0</v>
      </c>
      <c r="I48" s="718">
        <f>+landbouw!H12</f>
        <v>0</v>
      </c>
      <c r="J48" s="718">
        <f>+landbouw!I12</f>
        <v>0</v>
      </c>
      <c r="K48" s="718">
        <f>+landbouw!J12</f>
        <v>555.08944087205077</v>
      </c>
      <c r="L48" s="718">
        <f>+landbouw!K12</f>
        <v>0</v>
      </c>
      <c r="M48" s="718">
        <f>+landbouw!L12</f>
        <v>0</v>
      </c>
      <c r="N48" s="718">
        <f>+landbouw!M12</f>
        <v>0</v>
      </c>
      <c r="O48" s="718">
        <f>+landbouw!N12</f>
        <v>0</v>
      </c>
      <c r="P48" s="718">
        <f>+landbouw!O12</f>
        <v>0</v>
      </c>
      <c r="Q48" s="719">
        <f>+landbouw!P12</f>
        <v>0</v>
      </c>
      <c r="R48" s="761">
        <f ca="1">SUM(C48:Q48)</f>
        <v>22641.522407671029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17204.091998708278</v>
      </c>
      <c r="D53" s="773">
        <f t="shared" ref="D53:Q53" ca="1" si="6">D41+D46+D48</f>
        <v>2386.3159663865545</v>
      </c>
      <c r="E53" s="773">
        <f t="shared" ca="1" si="6"/>
        <v>32557.150606759242</v>
      </c>
      <c r="F53" s="773">
        <f t="shared" si="6"/>
        <v>1718.0668883136052</v>
      </c>
      <c r="G53" s="773">
        <f t="shared" ca="1" si="6"/>
        <v>18425.63531431913</v>
      </c>
      <c r="H53" s="773">
        <f t="shared" si="6"/>
        <v>64402.23734391894</v>
      </c>
      <c r="I53" s="773">
        <f t="shared" si="6"/>
        <v>8640.7041570745205</v>
      </c>
      <c r="J53" s="773">
        <f t="shared" si="6"/>
        <v>0</v>
      </c>
      <c r="K53" s="773">
        <f t="shared" si="6"/>
        <v>562.46367695333083</v>
      </c>
      <c r="L53" s="773">
        <f t="shared" si="6"/>
        <v>0</v>
      </c>
      <c r="M53" s="773">
        <f t="shared" ca="1" si="6"/>
        <v>0</v>
      </c>
      <c r="N53" s="773">
        <f t="shared" si="6"/>
        <v>0</v>
      </c>
      <c r="O53" s="773">
        <f t="shared" ca="1" si="6"/>
        <v>0</v>
      </c>
      <c r="P53" s="773">
        <f>P41+P46+P48</f>
        <v>0</v>
      </c>
      <c r="Q53" s="774">
        <f t="shared" si="6"/>
        <v>0</v>
      </c>
      <c r="R53" s="775">
        <f ca="1">R41+R46+R48</f>
        <v>145896.6659524336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0.18939872146132178</v>
      </c>
      <c r="D55" s="836">
        <f t="shared" ca="1" si="7"/>
        <v>0.23618038167738942</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7231.334717827337</v>
      </c>
      <c r="C64" s="795">
        <f>'lokale energieproductie'!B4</f>
        <v>7231.334717827337</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6243.2242378263209</v>
      </c>
      <c r="C66" s="795">
        <f>'lokale energieproductie'!B6</f>
        <v>6243.2242378263209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7072.65</v>
      </c>
      <c r="C67" s="794">
        <f>B67*IFERROR(SUM(J67:L67)/SUM(D67:M67),0)</f>
        <v>43.649999999999991</v>
      </c>
      <c r="D67" s="826">
        <f>'lokale energieproductie'!C7</f>
        <v>8269.4117647058829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1670.4211764705885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20547.208955653659</v>
      </c>
      <c r="C69" s="803">
        <f>SUM(C64:C68)</f>
        <v>13518.208955653658</v>
      </c>
      <c r="D69" s="804">
        <f t="shared" ref="D69:M69" si="8">SUM(D67:D68)</f>
        <v>8269.4117647058829</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1670.4211764705885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10103.785714285716</v>
      </c>
      <c r="C78" s="817">
        <f>B78*IFERROR(SUM(I78:L78)/SUM(D78:M78),0)</f>
        <v>62.357142857142847</v>
      </c>
      <c r="D78" s="832">
        <f>'lokale energieproductie'!C16</f>
        <v>11813.445378151262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2386.3159663865549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10103.785714285716</v>
      </c>
      <c r="C81" s="803">
        <f>SUM(C78:C80)</f>
        <v>62.357142857142847</v>
      </c>
      <c r="D81" s="803">
        <f t="shared" ref="D81:P81" si="9">SUM(D78:D80)</f>
        <v>11813.445378151262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2386.3159663865549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41446.531240494791</v>
      </c>
      <c r="C4" s="478">
        <f>huishoudens!C8</f>
        <v>0</v>
      </c>
      <c r="D4" s="478">
        <f>huishoudens!D8</f>
        <v>69775.335266648006</v>
      </c>
      <c r="E4" s="478">
        <f>huishoudens!E8</f>
        <v>5110.6318782829658</v>
      </c>
      <c r="F4" s="478">
        <f>huishoudens!F8</f>
        <v>18380.760589785714</v>
      </c>
      <c r="G4" s="478">
        <f>huishoudens!G8</f>
        <v>0</v>
      </c>
      <c r="H4" s="478">
        <f>huishoudens!H8</f>
        <v>0</v>
      </c>
      <c r="I4" s="478">
        <f>huishoudens!I8</f>
        <v>0</v>
      </c>
      <c r="J4" s="478">
        <f>huishoudens!J8</f>
        <v>0</v>
      </c>
      <c r="K4" s="478">
        <f>huishoudens!K8</f>
        <v>0</v>
      </c>
      <c r="L4" s="478">
        <f>huishoudens!L8</f>
        <v>0</v>
      </c>
      <c r="M4" s="478">
        <f>huishoudens!M8</f>
        <v>0</v>
      </c>
      <c r="N4" s="478">
        <f>huishoudens!N8</f>
        <v>17153.537384945153</v>
      </c>
      <c r="O4" s="478">
        <f>huishoudens!O8</f>
        <v>489.32333333333338</v>
      </c>
      <c r="P4" s="479">
        <f>huishoudens!P8</f>
        <v>1658.8</v>
      </c>
      <c r="Q4" s="480">
        <f>SUM(B4:P4)</f>
        <v>154014.91969348994</v>
      </c>
    </row>
    <row r="5" spans="1:17">
      <c r="A5" s="477" t="s">
        <v>156</v>
      </c>
      <c r="B5" s="478">
        <f ca="1">tertiair!B16</f>
        <v>29100.838465689994</v>
      </c>
      <c r="C5" s="478">
        <f ca="1">tertiair!C16</f>
        <v>192.85714285714286</v>
      </c>
      <c r="D5" s="478">
        <f ca="1">tertiair!D16</f>
        <v>29348.918182356134</v>
      </c>
      <c r="E5" s="478">
        <f>tertiair!E16</f>
        <v>620.85572635719132</v>
      </c>
      <c r="F5" s="478">
        <f ca="1">tertiair!F16</f>
        <v>6918.769920800506</v>
      </c>
      <c r="G5" s="478">
        <f>tertiair!G16</f>
        <v>0</v>
      </c>
      <c r="H5" s="478">
        <f>tertiair!H16</f>
        <v>0</v>
      </c>
      <c r="I5" s="478">
        <f>tertiair!I16</f>
        <v>0</v>
      </c>
      <c r="J5" s="478">
        <f>tertiair!J16</f>
        <v>0</v>
      </c>
      <c r="K5" s="478">
        <f>tertiair!K16</f>
        <v>0</v>
      </c>
      <c r="L5" s="478">
        <f ca="1">tertiair!L16</f>
        <v>0</v>
      </c>
      <c r="M5" s="478">
        <f>tertiair!M16</f>
        <v>0</v>
      </c>
      <c r="N5" s="478">
        <f ca="1">tertiair!N16</f>
        <v>2371.6418001864126</v>
      </c>
      <c r="O5" s="478">
        <f>tertiair!O16</f>
        <v>1.5633333333333335</v>
      </c>
      <c r="P5" s="479">
        <f>tertiair!P16</f>
        <v>19.066666666666666</v>
      </c>
      <c r="Q5" s="477">
        <f t="shared" ref="Q5:Q13" ca="1" si="0">SUM(B5:P5)</f>
        <v>68574.511238247374</v>
      </c>
    </row>
    <row r="6" spans="1:17">
      <c r="A6" s="477" t="s">
        <v>194</v>
      </c>
      <c r="B6" s="478">
        <f>'openbare verlichting'!B8</f>
        <v>1709.807</v>
      </c>
      <c r="C6" s="478"/>
      <c r="D6" s="478"/>
      <c r="E6" s="478"/>
      <c r="F6" s="478"/>
      <c r="G6" s="478"/>
      <c r="H6" s="478"/>
      <c r="I6" s="478"/>
      <c r="J6" s="478"/>
      <c r="K6" s="478"/>
      <c r="L6" s="478"/>
      <c r="M6" s="478"/>
      <c r="N6" s="478"/>
      <c r="O6" s="478"/>
      <c r="P6" s="479"/>
      <c r="Q6" s="477">
        <f t="shared" si="0"/>
        <v>1709.807</v>
      </c>
    </row>
    <row r="7" spans="1:17">
      <c r="A7" s="477" t="s">
        <v>112</v>
      </c>
      <c r="B7" s="478">
        <f>landbouw!B8</f>
        <v>10892.013533103</v>
      </c>
      <c r="C7" s="478">
        <f>landbouw!C8</f>
        <v>9910.9285714285706</v>
      </c>
      <c r="D7" s="478">
        <f>landbouw!D8</f>
        <v>34599.357564393707</v>
      </c>
      <c r="E7" s="478">
        <f>landbouw!E8</f>
        <v>280.86320852182587</v>
      </c>
      <c r="F7" s="478">
        <f>landbouw!F8</f>
        <v>39812.383746706095</v>
      </c>
      <c r="G7" s="478">
        <f>landbouw!G8</f>
        <v>0</v>
      </c>
      <c r="H7" s="478">
        <f>landbouw!H8</f>
        <v>0</v>
      </c>
      <c r="I7" s="478">
        <f>landbouw!I8</f>
        <v>0</v>
      </c>
      <c r="J7" s="478">
        <f>landbouw!J8</f>
        <v>1568.0492680001435</v>
      </c>
      <c r="K7" s="478">
        <f>landbouw!K8</f>
        <v>0</v>
      </c>
      <c r="L7" s="478">
        <f>landbouw!L8</f>
        <v>0</v>
      </c>
      <c r="M7" s="478">
        <f>landbouw!M8</f>
        <v>0</v>
      </c>
      <c r="N7" s="478">
        <f>landbouw!N8</f>
        <v>0</v>
      </c>
      <c r="O7" s="478">
        <f>landbouw!O8</f>
        <v>0</v>
      </c>
      <c r="P7" s="479">
        <f>landbouw!P8</f>
        <v>0</v>
      </c>
      <c r="Q7" s="477">
        <f t="shared" si="0"/>
        <v>97063.595892153346</v>
      </c>
    </row>
    <row r="8" spans="1:17">
      <c r="A8" s="477" t="s">
        <v>638</v>
      </c>
      <c r="B8" s="478">
        <f>industrie!B18</f>
        <v>7629.7889475699994</v>
      </c>
      <c r="C8" s="478">
        <f>industrie!C18</f>
        <v>0</v>
      </c>
      <c r="D8" s="478">
        <f>industrie!D18</f>
        <v>27324.668579015502</v>
      </c>
      <c r="E8" s="478">
        <f>industrie!E18</f>
        <v>998.43610370069109</v>
      </c>
      <c r="F8" s="478">
        <f>industrie!F18</f>
        <v>3897.9558337905582</v>
      </c>
      <c r="G8" s="478">
        <f>industrie!G18</f>
        <v>0</v>
      </c>
      <c r="H8" s="478">
        <f>industrie!H18</f>
        <v>0</v>
      </c>
      <c r="I8" s="478">
        <f>industrie!I18</f>
        <v>0</v>
      </c>
      <c r="J8" s="478">
        <f>industrie!J18</f>
        <v>20.831175370847774</v>
      </c>
      <c r="K8" s="478">
        <f>industrie!K18</f>
        <v>0</v>
      </c>
      <c r="L8" s="478">
        <f>industrie!L18</f>
        <v>0</v>
      </c>
      <c r="M8" s="478">
        <f>industrie!M18</f>
        <v>0</v>
      </c>
      <c r="N8" s="478">
        <f>industrie!N18</f>
        <v>2449.1003904568538</v>
      </c>
      <c r="O8" s="478">
        <f>industrie!O18</f>
        <v>0</v>
      </c>
      <c r="P8" s="479">
        <f>industrie!P18</f>
        <v>0</v>
      </c>
      <c r="Q8" s="477">
        <f t="shared" si="0"/>
        <v>42320.78102990445</v>
      </c>
    </row>
    <row r="9" spans="1:17" s="483" customFormat="1">
      <c r="A9" s="481" t="s">
        <v>564</v>
      </c>
      <c r="B9" s="482">
        <f>transport!B14</f>
        <v>56.3330368397217</v>
      </c>
      <c r="C9" s="482"/>
      <c r="D9" s="482">
        <f>transport!D14</f>
        <v>125.73331233535049</v>
      </c>
      <c r="E9" s="482">
        <f>transport!E14</f>
        <v>557.78968363778927</v>
      </c>
      <c r="F9" s="482"/>
      <c r="G9" s="482">
        <f>transport!G14</f>
        <v>238945.64430463122</v>
      </c>
      <c r="H9" s="482">
        <f>transport!H14</f>
        <v>34701.623120781209</v>
      </c>
      <c r="I9" s="482"/>
      <c r="J9" s="482"/>
      <c r="K9" s="482"/>
      <c r="L9" s="482"/>
      <c r="M9" s="482">
        <f>transport!M14</f>
        <v>8567.3100958165451</v>
      </c>
      <c r="N9" s="482"/>
      <c r="O9" s="482"/>
      <c r="P9" s="482"/>
      <c r="Q9" s="481">
        <f>SUM(B9:P9)</f>
        <v>282954.43355404184</v>
      </c>
    </row>
    <row r="10" spans="1:17">
      <c r="A10" s="477" t="s">
        <v>554</v>
      </c>
      <c r="B10" s="478">
        <f>transport!B54</f>
        <v>0</v>
      </c>
      <c r="C10" s="478"/>
      <c r="D10" s="478">
        <f>transport!D54</f>
        <v>0</v>
      </c>
      <c r="E10" s="478"/>
      <c r="F10" s="478"/>
      <c r="G10" s="478">
        <f>transport!G54</f>
        <v>2261.2371332674315</v>
      </c>
      <c r="H10" s="478"/>
      <c r="I10" s="478"/>
      <c r="J10" s="478"/>
      <c r="K10" s="478"/>
      <c r="L10" s="478"/>
      <c r="M10" s="478">
        <f>transport!M54</f>
        <v>70.138517074744158</v>
      </c>
      <c r="N10" s="478"/>
      <c r="O10" s="478"/>
      <c r="P10" s="479"/>
      <c r="Q10" s="477">
        <f t="shared" si="0"/>
        <v>2331.3756503421755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90835.312223697503</v>
      </c>
      <c r="C14" s="488">
        <f t="shared" ref="C14:Q14" ca="1" si="1">SUM(C4:C13)</f>
        <v>10103.785714285714</v>
      </c>
      <c r="D14" s="488">
        <f t="shared" ca="1" si="1"/>
        <v>161174.01290474873</v>
      </c>
      <c r="E14" s="488">
        <f t="shared" si="1"/>
        <v>7568.5766005004634</v>
      </c>
      <c r="F14" s="488">
        <f t="shared" ca="1" si="1"/>
        <v>69009.870091082877</v>
      </c>
      <c r="G14" s="488">
        <f t="shared" si="1"/>
        <v>241206.88143789864</v>
      </c>
      <c r="H14" s="488">
        <f t="shared" si="1"/>
        <v>34701.623120781209</v>
      </c>
      <c r="I14" s="488">
        <f t="shared" si="1"/>
        <v>0</v>
      </c>
      <c r="J14" s="488">
        <f t="shared" si="1"/>
        <v>1588.8804433709913</v>
      </c>
      <c r="K14" s="488">
        <f t="shared" si="1"/>
        <v>0</v>
      </c>
      <c r="L14" s="488">
        <f t="shared" ca="1" si="1"/>
        <v>0</v>
      </c>
      <c r="M14" s="488">
        <f t="shared" si="1"/>
        <v>8637.4486128912886</v>
      </c>
      <c r="N14" s="488">
        <f t="shared" ca="1" si="1"/>
        <v>21974.279575588418</v>
      </c>
      <c r="O14" s="488">
        <f t="shared" si="1"/>
        <v>490.88666666666671</v>
      </c>
      <c r="P14" s="489">
        <f t="shared" si="1"/>
        <v>1677.8666666666666</v>
      </c>
      <c r="Q14" s="489">
        <f t="shared" ca="1" si="1"/>
        <v>648969.42405817914</v>
      </c>
    </row>
    <row r="16" spans="1:17">
      <c r="A16" s="491" t="s">
        <v>559</v>
      </c>
      <c r="B16" s="841">
        <f ca="1">huishoudens!B10</f>
        <v>0.18939872146132175</v>
      </c>
      <c r="C16" s="841">
        <f ca="1">huishoudens!C10</f>
        <v>0.23618038167738944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7849.9200259564432</v>
      </c>
      <c r="C21" s="478">
        <f t="shared" ref="C21:C28" ca="1" si="3">C4*$C$16</f>
        <v>0</v>
      </c>
      <c r="D21" s="478">
        <f t="shared" ref="D21:D30" si="4">D4*$D$16</f>
        <v>14094.617723862899</v>
      </c>
      <c r="E21" s="478">
        <f t="shared" ref="E21:E30" si="5">E4*$E$16</f>
        <v>1160.1134363702333</v>
      </c>
      <c r="F21" s="478">
        <f t="shared" ref="F21:F28" si="6">F4*$F$16</f>
        <v>4907.6630774727855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28012.31426366236</v>
      </c>
    </row>
    <row r="22" spans="1:17">
      <c r="A22" s="477" t="s">
        <v>156</v>
      </c>
      <c r="B22" s="478">
        <f t="shared" ca="1" si="2"/>
        <v>5511.6615988541371</v>
      </c>
      <c r="C22" s="478">
        <f t="shared" ca="1" si="3"/>
        <v>45.549073609210822</v>
      </c>
      <c r="D22" s="478">
        <f t="shared" ca="1" si="4"/>
        <v>5928.4814728359397</v>
      </c>
      <c r="E22" s="478">
        <f t="shared" si="5"/>
        <v>140.93424988308243</v>
      </c>
      <c r="F22" s="478">
        <f t="shared" ca="1" si="6"/>
        <v>1847.3115688537353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13473.937964036104</v>
      </c>
    </row>
    <row r="23" spans="1:17">
      <c r="A23" s="477" t="s">
        <v>194</v>
      </c>
      <c r="B23" s="478">
        <f t="shared" ca="1" si="2"/>
        <v>323.83525974561815</v>
      </c>
      <c r="C23" s="478"/>
      <c r="D23" s="478"/>
      <c r="E23" s="478"/>
      <c r="F23" s="478"/>
      <c r="G23" s="478"/>
      <c r="H23" s="478"/>
      <c r="I23" s="478"/>
      <c r="J23" s="478"/>
      <c r="K23" s="478"/>
      <c r="L23" s="478"/>
      <c r="M23" s="478"/>
      <c r="N23" s="478"/>
      <c r="O23" s="478"/>
      <c r="P23" s="479"/>
      <c r="Q23" s="477">
        <f t="shared" ca="1" si="17"/>
        <v>323.83525974561815</v>
      </c>
    </row>
    <row r="24" spans="1:17">
      <c r="A24" s="477" t="s">
        <v>112</v>
      </c>
      <c r="B24" s="478">
        <f t="shared" ca="1" si="2"/>
        <v>2062.9334373091219</v>
      </c>
      <c r="C24" s="478">
        <f t="shared" ca="1" si="3"/>
        <v>2340.7668927773439</v>
      </c>
      <c r="D24" s="478">
        <f t="shared" si="4"/>
        <v>6989.0702280075293</v>
      </c>
      <c r="E24" s="478">
        <f t="shared" si="5"/>
        <v>63.755948334454473</v>
      </c>
      <c r="F24" s="478">
        <f t="shared" si="6"/>
        <v>10629.906460370528</v>
      </c>
      <c r="G24" s="478">
        <f t="shared" si="7"/>
        <v>0</v>
      </c>
      <c r="H24" s="478">
        <f t="shared" si="8"/>
        <v>0</v>
      </c>
      <c r="I24" s="478">
        <f t="shared" si="9"/>
        <v>0</v>
      </c>
      <c r="J24" s="478">
        <f t="shared" si="10"/>
        <v>555.08944087205077</v>
      </c>
      <c r="K24" s="478">
        <f t="shared" si="11"/>
        <v>0</v>
      </c>
      <c r="L24" s="478">
        <f t="shared" si="12"/>
        <v>0</v>
      </c>
      <c r="M24" s="478">
        <f t="shared" si="13"/>
        <v>0</v>
      </c>
      <c r="N24" s="478">
        <f t="shared" si="14"/>
        <v>0</v>
      </c>
      <c r="O24" s="478">
        <f t="shared" si="15"/>
        <v>0</v>
      </c>
      <c r="P24" s="479">
        <f t="shared" si="16"/>
        <v>0</v>
      </c>
      <c r="Q24" s="477">
        <f t="shared" ca="1" si="17"/>
        <v>22641.522407671029</v>
      </c>
    </row>
    <row r="25" spans="1:17">
      <c r="A25" s="477" t="s">
        <v>638</v>
      </c>
      <c r="B25" s="478">
        <f t="shared" ca="1" si="2"/>
        <v>1445.0722716894816</v>
      </c>
      <c r="C25" s="478">
        <f t="shared" ca="1" si="3"/>
        <v>0</v>
      </c>
      <c r="D25" s="478">
        <f t="shared" si="4"/>
        <v>5519.5830529611321</v>
      </c>
      <c r="E25" s="478">
        <f t="shared" si="5"/>
        <v>226.6449955400569</v>
      </c>
      <c r="F25" s="478">
        <f t="shared" si="6"/>
        <v>1040.7542076220791</v>
      </c>
      <c r="G25" s="478">
        <f t="shared" si="7"/>
        <v>0</v>
      </c>
      <c r="H25" s="478">
        <f t="shared" si="8"/>
        <v>0</v>
      </c>
      <c r="I25" s="478">
        <f t="shared" si="9"/>
        <v>0</v>
      </c>
      <c r="J25" s="478">
        <f t="shared" si="10"/>
        <v>7.3742360812801113</v>
      </c>
      <c r="K25" s="478">
        <f t="shared" si="11"/>
        <v>0</v>
      </c>
      <c r="L25" s="478">
        <f t="shared" si="12"/>
        <v>0</v>
      </c>
      <c r="M25" s="478">
        <f t="shared" si="13"/>
        <v>0</v>
      </c>
      <c r="N25" s="478">
        <f t="shared" si="14"/>
        <v>0</v>
      </c>
      <c r="O25" s="478">
        <f t="shared" si="15"/>
        <v>0</v>
      </c>
      <c r="P25" s="479">
        <f t="shared" si="16"/>
        <v>0</v>
      </c>
      <c r="Q25" s="477">
        <f t="shared" ca="1" si="17"/>
        <v>8239.4287638940295</v>
      </c>
    </row>
    <row r="26" spans="1:17" s="483" customFormat="1">
      <c r="A26" s="481" t="s">
        <v>564</v>
      </c>
      <c r="B26" s="835">
        <f t="shared" ca="1" si="2"/>
        <v>10.669405153476827</v>
      </c>
      <c r="C26" s="482"/>
      <c r="D26" s="482">
        <f t="shared" si="4"/>
        <v>25.398129091740799</v>
      </c>
      <c r="E26" s="482">
        <f t="shared" si="5"/>
        <v>126.61825818577817</v>
      </c>
      <c r="F26" s="482"/>
      <c r="G26" s="482">
        <f t="shared" si="7"/>
        <v>63798.487029336538</v>
      </c>
      <c r="H26" s="482">
        <f t="shared" si="8"/>
        <v>8640.7041570745205</v>
      </c>
      <c r="I26" s="482"/>
      <c r="J26" s="482"/>
      <c r="K26" s="482"/>
      <c r="L26" s="482"/>
      <c r="M26" s="482">
        <f t="shared" si="13"/>
        <v>0</v>
      </c>
      <c r="N26" s="482"/>
      <c r="O26" s="482"/>
      <c r="P26" s="493"/>
      <c r="Q26" s="481">
        <f t="shared" ca="1" si="17"/>
        <v>72601.876978842047</v>
      </c>
    </row>
    <row r="27" spans="1:17">
      <c r="A27" s="477" t="s">
        <v>554</v>
      </c>
      <c r="B27" s="478">
        <f t="shared" ca="1" si="2"/>
        <v>0</v>
      </c>
      <c r="C27" s="478"/>
      <c r="D27" s="482">
        <f t="shared" si="4"/>
        <v>0</v>
      </c>
      <c r="E27" s="478"/>
      <c r="F27" s="478"/>
      <c r="G27" s="478">
        <f t="shared" si="7"/>
        <v>603.75031458240426</v>
      </c>
      <c r="H27" s="478"/>
      <c r="I27" s="478"/>
      <c r="J27" s="478"/>
      <c r="K27" s="478"/>
      <c r="L27" s="478"/>
      <c r="M27" s="478">
        <f t="shared" si="13"/>
        <v>0</v>
      </c>
      <c r="N27" s="478"/>
      <c r="O27" s="478"/>
      <c r="P27" s="479"/>
      <c r="Q27" s="477">
        <f t="shared" ca="1" si="17"/>
        <v>603.75031458240426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17204.091998708278</v>
      </c>
      <c r="C31" s="488">
        <f t="shared" ca="1" si="18"/>
        <v>2386.3159663865545</v>
      </c>
      <c r="D31" s="488">
        <f t="shared" ca="1" si="18"/>
        <v>32557.150606759238</v>
      </c>
      <c r="E31" s="488">
        <f t="shared" si="18"/>
        <v>1718.0668883136052</v>
      </c>
      <c r="F31" s="488">
        <f t="shared" ca="1" si="18"/>
        <v>18425.635314319126</v>
      </c>
      <c r="G31" s="488">
        <f t="shared" si="18"/>
        <v>64402.23734391894</v>
      </c>
      <c r="H31" s="488">
        <f t="shared" si="18"/>
        <v>8640.7041570745205</v>
      </c>
      <c r="I31" s="488">
        <f t="shared" si="18"/>
        <v>0</v>
      </c>
      <c r="J31" s="488">
        <f t="shared" si="18"/>
        <v>562.46367695333083</v>
      </c>
      <c r="K31" s="488">
        <f t="shared" si="18"/>
        <v>0</v>
      </c>
      <c r="L31" s="488">
        <f t="shared" ca="1" si="18"/>
        <v>0</v>
      </c>
      <c r="M31" s="488">
        <f t="shared" si="18"/>
        <v>0</v>
      </c>
      <c r="N31" s="488">
        <f t="shared" ca="1" si="18"/>
        <v>0</v>
      </c>
      <c r="O31" s="488">
        <f t="shared" si="18"/>
        <v>0</v>
      </c>
      <c r="P31" s="489">
        <f t="shared" si="18"/>
        <v>0</v>
      </c>
      <c r="Q31" s="489">
        <f t="shared" ca="1" si="18"/>
        <v>145896.6659524336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0.18939872146132175</v>
      </c>
      <c r="C17" s="528">
        <f ca="1">'EF ele_warmte'!B22</f>
        <v>0.23618038167738944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0.18939872146132175</v>
      </c>
      <c r="C17" s="528">
        <f ca="1">'EF ele_warmte'!B22</f>
        <v>0.23618038167738944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0.18939872146132175</v>
      </c>
      <c r="C29" s="529">
        <f ca="1">'EF ele_warmte'!B22</f>
        <v>0.23618038167738944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2019-01-01T21:27:28Z</dcterms:modified>
</cp:coreProperties>
</file>