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I20" i="15"/>
  <c r="J36" i="14" s="1"/>
  <c r="J12" i="17"/>
  <c r="K48" i="14" s="1"/>
  <c r="J7" i="48"/>
  <c r="J24" s="1"/>
  <c r="M13" i="14"/>
  <c r="I5" i="48"/>
  <c r="I22" s="1"/>
  <c r="I31" s="1"/>
  <c r="P22" i="16"/>
  <c r="Q39" i="14" s="1"/>
  <c r="P8" i="48"/>
  <c r="P25" s="1"/>
  <c r="J15" i="14"/>
  <c r="J23" s="1"/>
  <c r="E8" i="17"/>
  <c r="F22" i="14" s="1"/>
  <c r="O18" i="16"/>
  <c r="O22" s="1"/>
  <c r="P39" i="14" s="1"/>
  <c r="B34" i="13"/>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10"/>
  <c r="Q15" s="1"/>
  <c r="Q23" s="1"/>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C50" i="13"/>
  <c r="J5" s="1"/>
  <c r="J8" s="1"/>
  <c r="C5" i="48"/>
  <c r="Q41" i="14" l="1"/>
  <c r="Q53" s="1"/>
  <c r="Q55" s="1"/>
  <c r="E12" i="17"/>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P55" i="14" l="1"/>
  <c r="J5" i="48"/>
  <c r="J22" s="1"/>
  <c r="E15" i="14"/>
  <c r="J20" i="15"/>
  <c r="K36" i="14"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B22"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N22" i="16"/>
  <c r="O39" i="14" s="1"/>
  <c r="O41" s="1"/>
  <c r="F8" i="48"/>
  <c r="Q4"/>
  <c r="N22"/>
  <c r="R11" i="14"/>
  <c r="J21" i="48"/>
  <c r="R10" i="14"/>
  <c r="C10" i="17" l="1"/>
  <c r="C12" s="1"/>
  <c r="D48" i="14" s="1"/>
  <c r="C56" i="22"/>
  <c r="C58" s="1"/>
  <c r="D44" i="14" s="1"/>
  <c r="D46" s="1"/>
  <c r="C17" i="49"/>
  <c r="C29" i="20"/>
  <c r="C17" i="19"/>
  <c r="C19" s="1"/>
  <c r="D35" i="14" s="1"/>
  <c r="C20" i="16"/>
  <c r="C22" s="1"/>
  <c r="D39" i="14" s="1"/>
  <c r="C18" i="15"/>
  <c r="C20" s="1"/>
  <c r="D36" i="14" s="1"/>
  <c r="C10" i="13"/>
  <c r="C16" i="48" s="1"/>
  <c r="C16" i="22"/>
  <c r="J8" i="48"/>
  <c r="J25" s="1"/>
  <c r="J31" s="1"/>
  <c r="O13" i="14"/>
  <c r="O15" s="1"/>
  <c r="N55"/>
  <c r="Q5" i="48"/>
  <c r="N25"/>
  <c r="N31" s="1"/>
  <c r="N14"/>
  <c r="E25"/>
  <c r="E31" s="1"/>
  <c r="E14"/>
  <c r="K13" i="14"/>
  <c r="K15" s="1"/>
  <c r="K23" s="1"/>
  <c r="K55" s="1"/>
  <c r="H55"/>
  <c r="E55"/>
  <c r="C78"/>
  <c r="C81" s="1"/>
  <c r="R19"/>
  <c r="R20" s="1"/>
  <c r="H14" i="48"/>
  <c r="G31"/>
  <c r="H26"/>
  <c r="H31" s="1"/>
  <c r="F55" i="14"/>
  <c r="O53"/>
  <c r="G53"/>
  <c r="G55" s="1"/>
  <c r="O69" s="1"/>
  <c r="B9" i="6" s="1"/>
  <c r="B12" s="1"/>
  <c r="M53" i="14"/>
  <c r="M55" s="1"/>
  <c r="C12" i="13"/>
  <c r="D37" i="14" s="1"/>
  <c r="D41" s="1"/>
  <c r="C24" i="48"/>
  <c r="C28"/>
  <c r="C22"/>
  <c r="C25"/>
  <c r="C21"/>
  <c r="F25"/>
  <c r="F31" s="1"/>
  <c r="F14"/>
  <c r="J14" l="1"/>
  <c r="R13" i="14"/>
  <c r="R15" s="1"/>
  <c r="R23" s="1"/>
  <c r="Q8" i="4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<sst xmlns="http://schemas.openxmlformats.org/spreadsheetml/2006/main" count="2129" uniqueCount="865">
  <si>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</si>
  <si>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</si>
  <si>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</si>
  <si>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</si>
  <si>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</si>
  <si>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</si>
  <si>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</si>
  <si>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</si>
  <si>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</si>
  <si>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</si>
  <si>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</si>
  <si>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</si>
  <si>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</si>
  <si>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</si>
  <si>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</si>
  <si>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</si>
  <si>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</si>
  <si>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</si>
  <si>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</si>
  <si>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</si>
  <si>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</si>
  <si>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</si>
  <si>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</si>
  <si>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</si>
  <si>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</si>
  <si>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</si>
  <si>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</si>
  <si>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</si>
  <si>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</si>
  <si>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</si>
  <si>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</si>
  <si>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</si>
  <si>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</si>
  <si>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</si>
  <si>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</si>
  <si>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</si>
  <si>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</si>
  <si>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</si>
  <si>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</si>
  <si>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</si>
  <si>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</si>
  <si>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</si>
  <si>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</si>
  <si>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</si>
  <si>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</si>
  <si>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</si>
  <si>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</si>
  <si>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</si>
  <si>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</si>
  <si>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</si>
  <si>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</si>
  <si>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</si>
  <si>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</si>
  <si>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</si>
  <si>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</si>
  <si>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</si>
  <si>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</si>
  <si>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</si>
  <si>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</si>
  <si>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</si>
  <si>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</si>
  <si>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</si>
  <si>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</si>
  <si>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</si>
  <si>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</si>
  <si>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</si>
  <si>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</si>
  <si>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</si>
  <si>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</si>
  <si>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</si>
  <si>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</si>
  <si>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</si>
  <si>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</si>
  <si>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</si>
  <si>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</si>
  <si>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</si>
  <si>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</si>
  <si>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</si>
  <si>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</si>
  <si>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</si>
  <si>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</si>
  <si>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</si>
  <si>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</si>
  <si>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</si>
  <si>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</si>
  <si>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</si>
  <si>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</si>
  <si>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</si>
  <si>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</si>
  <si>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</si>
  <si>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</si>
  <si>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</si>
  <si>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</si>
  <si>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</si>
  <si>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</si>
  <si>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</si>
  <si>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</si>
  <si>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</si>
  <si>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</si>
  <si>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</si>
  <si>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</si>
  <si>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</si>
  <si>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</si>
  <si>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</si>
  <si>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</si>
  <si>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</si>
  <si>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</si>
  <si>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</si>
  <si>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</si>
  <si>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</si>
  <si>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</si>
  <si>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</si>
  <si>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</si>
  <si>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</si>
  <si>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</si>
  <si>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</si>
  <si>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</si>
  <si>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</si>
  <si>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</si>
  <si>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</si>
  <si>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</si>
  <si>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</si>
  <si>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</si>
  <si>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</si>
  <si>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</si>
  <si>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</si>
  <si>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</si>
  <si>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</si>
  <si>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</si>
  <si>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</si>
  <si>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</si>
  <si>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</si>
  <si>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</si>
  <si>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</si>
  <si>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</si>
  <si>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</si>
  <si>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</si>
  <si>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</si>
  <si>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</si>
  <si>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</si>
  <si>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</si>
  <si>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</si>
  <si>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</si>
  <si>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</si>
  <si>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</si>
  <si>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</si>
  <si>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</si>
  <si>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</si>
  <si>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</si>
  <si>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</si>
  <si>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</si>
  <si>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</si>
  <si>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</si>
  <si>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</si>
  <si>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</si>
  <si>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</si>
  <si>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</si>
  <si>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</si>
  <si>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</si>
  <si>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</si>
  <si>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</si>
  <si>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</si>
  <si>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</si>
  <si>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</si>
  <si>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</si>
  <si>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</si>
  <si>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</si>
  <si>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</si>
  <si>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</si>
  <si>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</si>
  <si>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</si>
  <si>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</si>
  <si>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</si>
  <si>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</si>
  <si>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</si>
  <si>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</si>
  <si>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</si>
  <si>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</si>
  <si>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</si>
  <si>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</si>
  <si>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</si>
  <si>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</si>
  <si>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</si>
  <si>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</si>
  <si>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</si>
  <si>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</si>
  <si>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</si>
  <si>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</si>
  <si>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</si>
  <si>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</si>
  <si>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</si>
  <si>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</si>
  <si>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</si>
  <si>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</si>
  <si>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</si>
  <si>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</si>
  <si>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</si>
  <si>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</si>
  <si>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</si>
  <si>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</si>
  <si>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</si>
  <si>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</si>
  <si>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</si>
  <si>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</si>
  <si>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</si>
  <si>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</si>
  <si>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</si>
  <si>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</si>
  <si>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</si>
  <si>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</si>
  <si>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</si>
  <si>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</si>
  <si>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</si>
  <si>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</si>
  <si>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</si>
  <si>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</si>
  <si>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</si>
  <si>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</si>
  <si>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</si>
  <si>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</si>
  <si>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</si>
  <si>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</si>
  <si>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</si>
  <si>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</si>
  <si>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</si>
  <si>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</si>
  <si>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</si>
  <si>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</si>
  <si>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</si>
  <si>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</si>
  <si>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</si>
  <si>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</si>
  <si>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</si>
  <si>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</si>
  <si>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</si>
  <si>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</si>
  <si>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</si>
  <si>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</si>
  <si>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</si>
  <si>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</si>
  <si>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</si>
  <si>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</si>
  <si>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</si>
  <si>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</si>
  <si>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</si>
  <si>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</si>
  <si>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</si>
  <si>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</si>
  <si>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</si>
  <si>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</si>
  <si>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</si>
  <si>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</si>
  <si>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</si>
  <si>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</si>
  <si>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</si>
  <si>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</si>
  <si>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</si>
  <si>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</si>
  <si>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</si>
  <si>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</si>
  <si>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</si>
  <si>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</si>
  <si>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</si>
  <si>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</si>
  <si>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</si>
  <si>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</si>
  <si>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</si>
  <si>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</si>
  <si>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</si>
  <si>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</si>
  <si>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</si>
  <si>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</si>
  <si>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</si>
  <si>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</si>
  <si>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</si>
  <si>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</si>
  <si>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</si>
  <si>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</si>
  <si>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</si>
  <si>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</si>
  <si>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</si>
  <si>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</si>
  <si>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</si>
  <si>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</si>
  <si>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</si>
  <si>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</si>
  <si>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</si>
  <si>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</si>
  <si>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</si>
  <si>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</si>
  <si>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</si>
  <si>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</si>
  <si>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</si>
  <si>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</si>
  <si>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</si>
  <si>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</si>
  <si>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</si>
  <si>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</si>
  <si>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</si>
  <si>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</si>
  <si>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</si>
  <si>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</si>
  <si>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</si>
  <si>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</si>
  <si>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</si>
  <si>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</si>
  <si>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</si>
  <si>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</si>
  <si>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</si>
  <si>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</si>
  <si>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</si>
  <si>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</si>
  <si>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</si>
  <si>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</si>
  <si>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</si>
  <si>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</si>
  <si>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</si>
  <si>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</si>
  <si>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</si>
  <si>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</si>
  <si>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</si>
  <si>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</si>
  <si>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</si>
  <si>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</si>
  <si>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</si>
  <si>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</si>
  <si>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</si>
  <si>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</si>
  <si>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</si>
  <si>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</si>
  <si>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</si>
  <si>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</si>
  <si>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</si>
  <si>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</si>
  <si>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</si>
  <si>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</si>
  <si>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</si>
  <si>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</si>
  <si>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</si>
  <si>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</si>
  <si>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</si>
  <si>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</si>
  <si>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</si>
  <si>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</si>
  <si>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</si>
  <si>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</si>
  <si>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</si>
  <si>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</si>
  <si>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</si>
  <si>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</si>
  <si>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</si>
  <si>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</si>
  <si>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</si>
  <si>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</si>
  <si>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</si>
  <si>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</si>
  <si>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</si>
  <si>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</si>
  <si>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</si>
  <si>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</si>
  <si>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</si>
  <si>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</si>
  <si>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</si>
  <si>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</si>
  <si>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</si>
  <si>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</si>
  <si>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</si>
  <si>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</si>
  <si>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</si>
  <si>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</si>
  <si>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</si>
  <si>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</si>
  <si>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</si>
  <si>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</si>
  <si>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</si>
  <si>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</si>
  <si>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</si>
  <si>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</si>
  <si>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</si>
  <si>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</si>
  <si>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</si>
  <si>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</si>
  <si>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</si>
  <si>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</si>
  <si>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</si>
  <si>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</si>
  <si>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</si>
  <si>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</si>
  <si>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</si>
  <si>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</si>
  <si>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</si>
  <si>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</si>
  <si>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</si>
  <si>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</si>
  <si>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</si>
  <si>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</si>
  <si>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</si>
  <si>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</si>
  <si>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</si>
  <si>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</si>
  <si>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</si>
  <si>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</si>
  <si>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</si>
  <si>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</si>
  <si>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</si>
  <si>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</si>
  <si>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</si>
  <si>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</si>
  <si>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</si>
  <si>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</si>
  <si>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</si>
  <si>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</si>
  <si>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</si>
  <si>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</si>
  <si>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</si>
  <si>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</si>
  <si>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</si>
  <si>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</si>
  <si>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</si>
  <si>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</si>
  <si>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</si>
  <si>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</si>
  <si>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</si>
  <si>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</si>
  <si>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</si>
  <si>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</si>
  <si>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</si>
  <si>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</si>
  <si>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</si>
  <si>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</si>
  <si>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</si>
  <si>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</si>
  <si>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</si>
  <si>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</si>
  <si>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</si>
  <si>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</si>
  <si>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</si>
  <si>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</si>
  <si>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</si>
  <si>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</si>
  <si>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</si>
  <si>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</si>
  <si>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</si>
  <si>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</si>
  <si>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</si>
  <si>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</si>
  <si>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</si>
  <si>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</si>
  <si>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</si>
  <si>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</si>
  <si>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</si>
  <si>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</si>
  <si>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</si>
  <si>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</si>
  <si>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</si>
  <si>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</si>
  <si>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</si>
  <si>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</si>
  <si>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</si>
  <si>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</si>
  <si>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</si>
  <si>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</si>
  <si>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</si>
  <si>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</si>
  <si>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</si>
  <si>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</si>
  <si>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</si>
  <si>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</si>
  <si>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</si>
  <si>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</si>
  <si>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</si>
  <si>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</si>
  <si>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</si>
  <si>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</si>
  <si>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</si>
  <si>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</si>
  <si>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</si>
  <si>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</si>
  <si>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</si>
  <si>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</si>
  <si>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</si>
  <si>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</si>
  <si>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</si>
  <si>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</si>
  <si>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</si>
  <si>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</si>
  <si>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</si>
  <si>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</si>
  <si>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</si>
  <si>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</si>
  <si>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</si>
  <si>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</si>
  <si>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</si>
  <si>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</si>
  <si>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</si>
  <si>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</si>
  <si>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</si>
  <si>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</si>
  <si>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</si>
  <si>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</si>
  <si>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</si>
  <si>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</si>
  <si>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</si>
  <si>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</si>
  <si>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</si>
  <si>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</si>
  <si>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</si>
  <si>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</si>
  <si>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</si>
  <si>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</si>
  <si>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</si>
  <si>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</si>
  <si>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</si>
  <si>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</si>
  <si>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</si>
  <si>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</si>
  <si>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</si>
  <si>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</si>
  <si>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</si>
  <si>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</si>
  <si>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</si>
  <si>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</si>
  <si>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</si>
  <si>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</si>
  <si>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</si>
  <si>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</si>
  <si>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</si>
  <si>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</si>
  <si>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</si>
  <si>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</si>
  <si>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</si>
  <si>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</si>
  <si>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</si>
  <si>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</si>
  <si>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</si>
  <si>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</si>
  <si>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</si>
  <si>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</si>
  <si>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</si>
  <si>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</si>
  <si>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</si>
  <si>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</si>
  <si>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</si>
  <si>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</si>
  <si>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</si>
  <si>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</si>
  <si>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</si>
  <si>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</si>
  <si>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</si>
  <si>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</si>
  <si>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</si>
  <si>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</si>
  <si>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</si>
  <si>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</si>
  <si>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</si>
  <si>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</si>
  <si>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</si>
  <si>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</si>
  <si>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</si>
  <si>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</si>
  <si>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</si>
  <si>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</si>
  <si>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</si>
  <si>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</si>
  <si>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</si>
  <si>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</si>
  <si>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</si>
  <si>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</si>
  <si>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</si>
  <si>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</si>
  <si>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</si>
  <si>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</si>
  <si>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</si>
  <si>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</si>
  <si>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</si>
  <si>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</si>
  <si>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</si>
  <si>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</si>
  <si>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</si>
  <si>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</si>
  <si>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</si>
  <si>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</si>
  <si>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</si>
  <si>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</si>
  <si>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</si>
  <si>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</si>
  <si>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</si>
  <si>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</si>
  <si>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</si>
  <si>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</si>
  <si>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</si>
  <si>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</si>
  <si>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</si>
  <si>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</si>
  <si>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</si>
  <si>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</si>
  <si>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</si>
  <si>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</si>
  <si>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</si>
  <si>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</si>
  <si>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</si>
  <si>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</si>
  <si>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</si>
  <si>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</si>
  <si>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</si>
  <si>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</si>
  <si>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</si>
  <si>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</si>
  <si>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</si>
  <si>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</si>
  <si>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</si>
  <si>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</si>
  <si>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</si>
  <si>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</si>
  <si>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</si>
  <si>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</si>
  <si>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</si>
  <si>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</si>
  <si>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</si>
  <si>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</si>
  <si>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</si>
  <si>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</si>
  <si>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</si>
  <si>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</si>
  <si>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</si>
  <si>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</si>
  <si>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</si>
  <si>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</si>
  <si>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</si>
  <si>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</si>
  <si>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</si>
  <si>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</si>
  <si>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</si>
  <si>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</si>
  <si>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</si>
  <si>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</si>
  <si>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</si>
  <si>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</si>
  <si>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</si>
  <si>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</si>
  <si>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</si>
  <si>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</si>
  <si>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</si>
  <si>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</si>
  <si>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</si>
  <si>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</si>
  <si>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</si>
  <si>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</si>
  <si>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</si>
  <si>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</si>
  <si>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</si>
  <si>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</si>
  <si>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</si>
  <si>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</si>
  <si>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</si>
  <si>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</si>
  <si>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</si>
  <si>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</si>
  <si>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</si>
  <si>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</si>
  <si>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</si>
  <si>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</si>
  <si>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</si>
  <si>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</si>
  <si>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</si>
  <si>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</si>
  <si>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</si>
  <si>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</si>
  <si>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</si>
  <si>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</si>
  <si>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</si>
  <si>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</si>
  <si>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</si>
  <si>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</si>
  <si>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</si>
  <si>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</si>
  <si>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</si>
  <si>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</si>
  <si>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</si>
  <si>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</si>
  <si>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</si>
  <si>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</si>
  <si>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</si>
  <si>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</si>
  <si>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</si>
  <si>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</si>
  <si>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</si>
  <si>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</si>
  <si>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</si>
  <si>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</si>
  <si>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</si>
  <si>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</si>
  <si>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</si>
  <si>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</si>
  <si>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</si>
  <si>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</si>
  <si>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</si>
  <si>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</si>
  <si>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</si>
  <si>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</si>
  <si>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</si>
  <si>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</si>
  <si>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</si>
  <si>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</si>
  <si>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</si>
  <si>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</si>
  <si>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</si>
  <si>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</si>
  <si>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</si>
  <si>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</si>
  <si>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</si>
  <si>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</si>
  <si>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</si>
  <si>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</si>
  <si>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</si>
  <si>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</si>
  <si>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</si>
  <si>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</si>
  <si>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</si>
  <si>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</si>
  <si>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</si>
  <si>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</si>
  <si>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</si>
  <si>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</si>
  <si>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</si>
  <si>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</si>
  <si>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</si>
  <si>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</si>
  <si>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</si>
  <si>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</si>
  <si>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</si>
  <si>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</si>
  <si>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</si>
  <si>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</si>
  <si>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</si>
  <si>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</si>
  <si>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</si>
  <si>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</si>
  <si>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</si>
  <si>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</si>
  <si>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</si>
  <si>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</si>
  <si>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</si>
  <si>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</si>
  <si>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</si>
  <si>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</si>
  <si>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</si>
  <si>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</si>
  <si>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</si>
  <si>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</si>
  <si>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</si>
  <si>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</si>
  <si>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</si>
  <si>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</si>
  <si>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</si>
  <si>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</si>
  <si>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</si>
  <si>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</si>
  <si>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</si>
  <si>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</si>
  <si>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</si>
  <si>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</si>
  <si>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</si>
  <si>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</si>
  <si>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</si>
  <si>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</si>
  <si>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</si>
  <si>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</si>
  <si>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</si>
  <si>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</si>
  <si>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</si>
  <si>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</si>
  <si>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</si>
  <si>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</si>
  <si>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</si>
  <si>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</si>
  <si>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</si>
  <si>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</si>
  <si>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</si>
  <si>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</si>
  <si>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</si>
  <si>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</si>
  <si>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</si>
  <si>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</si>
  <si>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</si>
  <si>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</si>
  <si>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</si>
  <si>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</si>
  <si>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</si>
  <si>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</si>
  <si>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</si>
  <si>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</si>
  <si>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</si>
  <si>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</si>
  <si>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</si>
  <si>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</si>
  <si>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</si>
  <si>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</si>
  <si>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</si>
  <si>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</si>
  <si>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</si>
  <si>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</si>
  <si>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</si>
  <si>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</si>
  <si>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</si>
  <si>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</si>
  <si>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</si>
  <si>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</si>
  <si>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</si>
  <si>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</si>
  <si>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</si>
  <si>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</si>
  <si>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</si>
  <si>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</si>
  <si>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</si>
  <si>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</si>
  <si>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</si>
  <si>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</si>
  <si>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</si>
  <si>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</si>
  <si>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</si>
  <si>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</si>
  <si>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</si>
  <si>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</si>
  <si>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</si>
  <si>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</si>
  <si>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</si>
  <si>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</si>
  <si>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</si>
  <si>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</si>
  <si>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</si>
  <si>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</si>
  <si>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</si>
  <si>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</si>
  <si>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</si>
  <si>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</si>
  <si>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</si>
  <si>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</si>
  <si>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</si>
  <si>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</si>
  <si>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</si>
  <si>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</si>
  <si>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</si>
  <si>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</si>
  <si>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</si>
  <si>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</si>
  <si>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</si>
  <si>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42011</t>
  </si>
  <si>
    <t>LEBBEKE</t>
  </si>
  <si>
    <t>Paarden&amp;pony's 200 - 600 kg</t>
  </si>
  <si>
    <t>Paarden&amp;pony's &lt; 200 kg</t>
  </si>
  <si>
    <t>referentietaak LNE (2017); Jaarverslag De Lijn (2015)</t>
  </si>
  <si>
    <t>op basis van VEA (maart 2018) en Inventaris Hernieuwbare Energiebronnen (juni 2018)</t>
  </si>
  <si>
    <t>VEA (januari 2017)</t>
  </si>
  <si>
    <t>VEA (juni 2018)</t>
  </si>
  <si>
    <t>BVBA Woon en Zorg</t>
  </si>
  <si>
    <t>Hoeksken 3 , 9280 Lebbeke</t>
  </si>
  <si>
    <t>WKK-0610 Woon en Zorg</t>
  </si>
  <si>
    <t>interne verbrandingsmotor</t>
  </si>
  <si>
    <t>WKK interne verbrandinsgmotor (gas)</t>
  </si>
  <si>
    <t>Aalstersestraat 40 , 9280 Lebbeke</t>
  </si>
  <si>
    <t>INTERGEM</t>
  </si>
  <si>
    <t>Barry Callebaut Belgium NV</t>
  </si>
  <si>
    <t>Aalstersestraat 122 , 9280 Lebbeke</t>
  </si>
  <si>
    <t>WKK-0621 Barry Callebaut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</si>
</sst>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144535.05780389823</c:v>
                </c:pt>
                <c:pt idx="1">
                  <c:v>32249.823195011217</c:v>
                </c:pt>
                <c:pt idx="2">
                  <c:v>1060.3399999999999</c:v>
                </c:pt>
                <c:pt idx="3">
                  <c:v>8008.2429871166005</c:v>
                </c:pt>
                <c:pt idx="4">
                  <c:v>166213.21115917494</c:v>
                </c:pt>
                <c:pt idx="5">
                  <c:v>103480.81034817993</c:v>
                </c:pt>
                <c:pt idx="6">
                  <c:v>793.93461199723151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48320"/>
        <c:axId val="183870592"/>
      </c:barChart>
      <c:catAx>
        <c:axId val="18384832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4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144535.05780389823</c:v>
                </c:pt>
                <c:pt idx="1">
                  <c:v>32249.823195011217</c:v>
                </c:pt>
                <c:pt idx="2">
                  <c:v>1060.3399999999999</c:v>
                </c:pt>
                <c:pt idx="3">
                  <c:v>8008.2429871166005</c:v>
                </c:pt>
                <c:pt idx="4">
                  <c:v>166213.21115917494</c:v>
                </c:pt>
                <c:pt idx="5">
                  <c:v>103480.81034817993</c:v>
                </c:pt>
                <c:pt idx="6">
                  <c:v>793.93461199723151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28090.521259147677</c:v>
                </c:pt>
                <c:pt idx="1">
                  <c:v>6644.7809309727636</c:v>
                </c:pt>
                <c:pt idx="2">
                  <c:v>226.44523160724583</c:v>
                </c:pt>
                <c:pt idx="3">
                  <c:v>1958.3826159493656</c:v>
                </c:pt>
                <c:pt idx="4">
                  <c:v>29946.819367868571</c:v>
                </c:pt>
                <c:pt idx="5">
                  <c:v>26439.695944673003</c:v>
                </c:pt>
                <c:pt idx="6">
                  <c:v>205.60319040856206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8672"/>
      </c:barChart>
      <c:catAx>
        <c:axId val="184260864"/>
        <c:scaling>
          <c:orientation val="minMax"/>
        </c:scaling>
        <c:axPos val="b"/>
        <c:numFmt formatCode="General" sourceLinked="0"/>
        <c:tickLblPos val="nextTo"/>
        <c:crossAx val="184348672"/>
        <c:crosses val="autoZero"/>
        <c:auto val="1"/>
        <c:lblAlgn val="ctr"/>
        <c:lblOffset val="100"/>
      </c:catAx>
      <c:valAx>
        <c:axId val="184348672"/>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28090.521259147677</c:v>
                </c:pt>
                <c:pt idx="1">
                  <c:v>6644.7809309727636</c:v>
                </c:pt>
                <c:pt idx="2">
                  <c:v>226.44523160724583</c:v>
                </c:pt>
                <c:pt idx="3">
                  <c:v>1958.3826159493656</c:v>
                </c:pt>
                <c:pt idx="4">
                  <c:v>29946.819367868571</c:v>
                </c:pt>
                <c:pt idx="5">
                  <c:v>26439.695944673003</c:v>
                </c:pt>
                <c:pt idx="6">
                  <c:v>205.60319040856206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42011</v>
      </c>
      <c r="B6" s="415"/>
      <c r="C6" s="416"/>
    </row>
    <row r="7" spans="1:7" s="413" customFormat="1" ht="15.75" customHeight="1">
      <c r="A7" s="417" t="str">
        <f>txtMunicipality</f>
        <v>LEBBEKE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42011</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7898</v>
      </c>
      <c r="C9" s="342">
        <v>7779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1338.5</v>
      </c>
    </row>
    <row r="15" spans="1:6">
      <c r="A15" s="348" t="s">
        <v>184</v>
      </c>
      <c r="B15" s="334">
        <v>15</v>
      </c>
    </row>
    <row r="16" spans="1:6">
      <c r="A16" s="348" t="s">
        <v>6</v>
      </c>
      <c r="B16" s="334">
        <v>398</v>
      </c>
    </row>
    <row r="17" spans="1:6">
      <c r="A17" s="348" t="s">
        <v>7</v>
      </c>
      <c r="B17" s="334">
        <v>386</v>
      </c>
    </row>
    <row r="18" spans="1:6">
      <c r="A18" s="348" t="s">
        <v>8</v>
      </c>
      <c r="B18" s="334">
        <v>445</v>
      </c>
    </row>
    <row r="19" spans="1:6">
      <c r="A19" s="348" t="s">
        <v>9</v>
      </c>
      <c r="B19" s="334">
        <v>481</v>
      </c>
    </row>
    <row r="20" spans="1:6">
      <c r="A20" s="348" t="s">
        <v>10</v>
      </c>
      <c r="B20" s="334">
        <v>350</v>
      </c>
    </row>
    <row r="21" spans="1:6">
      <c r="A21" s="348" t="s">
        <v>11</v>
      </c>
      <c r="B21" s="334">
        <v>592</v>
      </c>
    </row>
    <row r="22" spans="1:6">
      <c r="A22" s="348" t="s">
        <v>12</v>
      </c>
      <c r="B22" s="334">
        <v>1450</v>
      </c>
    </row>
    <row r="23" spans="1:6">
      <c r="A23" s="348" t="s">
        <v>13</v>
      </c>
      <c r="B23" s="334">
        <v>54</v>
      </c>
    </row>
    <row r="24" spans="1:6">
      <c r="A24" s="348" t="s">
        <v>14</v>
      </c>
      <c r="B24" s="334">
        <v>3</v>
      </c>
    </row>
    <row r="25" spans="1:6">
      <c r="A25" s="348" t="s">
        <v>15</v>
      </c>
      <c r="B25" s="334">
        <v>253</v>
      </c>
    </row>
    <row r="26" spans="1:6">
      <c r="A26" s="348" t="s">
        <v>16</v>
      </c>
      <c r="B26" s="334">
        <v>106</v>
      </c>
    </row>
    <row r="27" spans="1:6">
      <c r="A27" s="348" t="s">
        <v>17</v>
      </c>
      <c r="B27" s="334">
        <v>0</v>
      </c>
    </row>
    <row r="28" spans="1:6" s="356" customFormat="1">
      <c r="A28" s="355" t="s">
        <v>18</v>
      </c>
      <c r="B28" s="355">
        <v>0</v>
      </c>
    </row>
    <row r="29" spans="1:6">
      <c r="A29" s="355" t="s">
        <v>849</v>
      </c>
      <c r="B29" s="355">
        <v>88</v>
      </c>
      <c r="C29" s="356"/>
      <c r="D29" s="356"/>
      <c r="E29" s="356"/>
      <c r="F29" s="356"/>
    </row>
    <row r="30" spans="1:6">
      <c r="A30" s="355" t="s">
        <v>850</v>
      </c>
      <c r="B30" s="341">
        <v>15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157125.94023000001</v>
      </c>
      <c r="E38" s="334">
        <v>2</v>
      </c>
      <c r="F38" s="334">
        <v>23138.640535999999</v>
      </c>
    </row>
    <row r="39" spans="1:6">
      <c r="A39" s="348" t="s">
        <v>30</v>
      </c>
      <c r="B39" s="348" t="s">
        <v>31</v>
      </c>
      <c r="C39" s="334">
        <v>5095</v>
      </c>
      <c r="D39" s="334">
        <v>77409509.370000005</v>
      </c>
      <c r="E39" s="334">
        <v>7809</v>
      </c>
      <c r="F39" s="334">
        <v>28838783.942000002</v>
      </c>
    </row>
    <row r="40" spans="1:6">
      <c r="A40" s="348" t="s">
        <v>30</v>
      </c>
      <c r="B40" s="348" t="s">
        <v>29</v>
      </c>
      <c r="C40" s="334">
        <v>0</v>
      </c>
      <c r="D40" s="334">
        <v>0</v>
      </c>
      <c r="E40" s="334">
        <v>0</v>
      </c>
      <c r="F40" s="334">
        <v>0</v>
      </c>
    </row>
    <row r="41" spans="1:6">
      <c r="A41" s="348" t="s">
        <v>32</v>
      </c>
      <c r="B41" s="348" t="s">
        <v>33</v>
      </c>
      <c r="C41" s="334">
        <v>62</v>
      </c>
      <c r="D41" s="334">
        <v>1150341.3639</v>
      </c>
      <c r="E41" s="334">
        <v>156</v>
      </c>
      <c r="F41" s="334">
        <v>1191370.5695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75660.125318999999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57795.982494999997</v>
      </c>
      <c r="E47" s="334">
        <v>9</v>
      </c>
      <c r="F47" s="334">
        <v>108204.03389000001</v>
      </c>
    </row>
    <row r="48" spans="1:6">
      <c r="A48" s="348" t="s">
        <v>32</v>
      </c>
      <c r="B48" s="348" t="s">
        <v>29</v>
      </c>
      <c r="C48" s="334">
        <v>33</v>
      </c>
      <c r="D48" s="334">
        <v>3882021.6324</v>
      </c>
      <c r="E48" s="334">
        <v>32</v>
      </c>
      <c r="F48" s="334">
        <v>2721976.3117</v>
      </c>
    </row>
    <row r="49" spans="1:6">
      <c r="A49" s="348" t="s">
        <v>32</v>
      </c>
      <c r="B49" s="348" t="s">
        <v>40</v>
      </c>
      <c r="C49" s="334">
        <v>0</v>
      </c>
      <c r="D49" s="334">
        <v>0</v>
      </c>
      <c r="E49" s="334">
        <v>0</v>
      </c>
      <c r="F49" s="334">
        <v>0</v>
      </c>
    </row>
    <row r="50" spans="1:6">
      <c r="A50" s="348" t="s">
        <v>32</v>
      </c>
      <c r="B50" s="348" t="s">
        <v>41</v>
      </c>
      <c r="C50" s="334">
        <v>10</v>
      </c>
      <c r="D50" s="334">
        <v>36068550.645000003</v>
      </c>
      <c r="E50" s="334">
        <v>14</v>
      </c>
      <c r="F50" s="334">
        <v>75273135.181999996</v>
      </c>
    </row>
    <row r="51" spans="1:6">
      <c r="A51" s="348" t="s">
        <v>42</v>
      </c>
      <c r="B51" s="348" t="s">
        <v>43</v>
      </c>
      <c r="C51" s="334">
        <v>19</v>
      </c>
      <c r="D51" s="334">
        <v>686554.20580999996</v>
      </c>
      <c r="E51" s="334">
        <v>92</v>
      </c>
      <c r="F51" s="334">
        <v>1087856.1351999999</v>
      </c>
    </row>
    <row r="52" spans="1:6">
      <c r="A52" s="348" t="s">
        <v>42</v>
      </c>
      <c r="B52" s="348" t="s">
        <v>29</v>
      </c>
      <c r="C52" s="334">
        <v>4</v>
      </c>
      <c r="D52" s="334">
        <v>24958.380729</v>
      </c>
      <c r="E52" s="334">
        <v>8</v>
      </c>
      <c r="F52" s="334">
        <v>166287.20224000001</v>
      </c>
    </row>
    <row r="53" spans="1:6">
      <c r="A53" s="348" t="s">
        <v>44</v>
      </c>
      <c r="B53" s="348" t="s">
        <v>45</v>
      </c>
      <c r="C53" s="334">
        <v>113</v>
      </c>
      <c r="D53" s="334">
        <v>1458195.6897</v>
      </c>
      <c r="E53" s="334">
        <v>285</v>
      </c>
      <c r="F53" s="334">
        <v>1016270.1082</v>
      </c>
    </row>
    <row r="54" spans="1:6">
      <c r="A54" s="348" t="s">
        <v>46</v>
      </c>
      <c r="B54" s="348" t="s">
        <v>47</v>
      </c>
      <c r="C54" s="334">
        <v>0</v>
      </c>
      <c r="D54" s="334">
        <v>0</v>
      </c>
      <c r="E54" s="334">
        <v>1</v>
      </c>
      <c r="F54" s="334">
        <v>1060340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3243858.7566</v>
      </c>
      <c r="E57" s="334">
        <v>88</v>
      </c>
      <c r="F57" s="334">
        <v>1176309.8892999999</v>
      </c>
    </row>
    <row r="58" spans="1:6">
      <c r="A58" s="348" t="s">
        <v>49</v>
      </c>
      <c r="B58" s="348" t="s">
        <v>51</v>
      </c>
      <c r="C58" s="334">
        <v>16</v>
      </c>
      <c r="D58" s="334">
        <v>428199.70486</v>
      </c>
      <c r="E58" s="334">
        <v>52</v>
      </c>
      <c r="F58" s="334">
        <v>486593.86605000001</v>
      </c>
    </row>
    <row r="59" spans="1:6">
      <c r="A59" s="348" t="s">
        <v>49</v>
      </c>
      <c r="B59" s="348" t="s">
        <v>52</v>
      </c>
      <c r="C59" s="334">
        <v>63</v>
      </c>
      <c r="D59" s="334">
        <v>2222381.0526999999</v>
      </c>
      <c r="E59" s="334">
        <v>178</v>
      </c>
      <c r="F59" s="334">
        <v>4931460.2778000003</v>
      </c>
    </row>
    <row r="60" spans="1:6">
      <c r="A60" s="348" t="s">
        <v>49</v>
      </c>
      <c r="B60" s="348" t="s">
        <v>53</v>
      </c>
      <c r="C60" s="334">
        <v>54</v>
      </c>
      <c r="D60" s="334">
        <v>1900262.0935</v>
      </c>
      <c r="E60" s="334">
        <v>73</v>
      </c>
      <c r="F60" s="334">
        <v>1421904.7291999999</v>
      </c>
    </row>
    <row r="61" spans="1:6">
      <c r="A61" s="348" t="s">
        <v>49</v>
      </c>
      <c r="B61" s="348" t="s">
        <v>54</v>
      </c>
      <c r="C61" s="334">
        <v>105</v>
      </c>
      <c r="D61" s="334">
        <v>4370303.2122999998</v>
      </c>
      <c r="E61" s="334">
        <v>283</v>
      </c>
      <c r="F61" s="334">
        <v>2573661.2141999998</v>
      </c>
    </row>
    <row r="62" spans="1:6">
      <c r="A62" s="348" t="s">
        <v>49</v>
      </c>
      <c r="B62" s="348" t="s">
        <v>55</v>
      </c>
      <c r="C62" s="334">
        <v>10</v>
      </c>
      <c r="D62" s="334">
        <v>835443.58611999999</v>
      </c>
      <c r="E62" s="334">
        <v>8</v>
      </c>
      <c r="F62" s="334">
        <v>110268.7346</v>
      </c>
    </row>
    <row r="63" spans="1:6">
      <c r="A63" s="348" t="s">
        <v>49</v>
      </c>
      <c r="B63" s="348" t="s">
        <v>29</v>
      </c>
      <c r="C63" s="334">
        <v>100</v>
      </c>
      <c r="D63" s="334">
        <v>4485082.4058999997</v>
      </c>
      <c r="E63" s="334">
        <v>103</v>
      </c>
      <c r="F63" s="334">
        <v>1446540.1007000001</v>
      </c>
    </row>
    <row r="64" spans="1:6">
      <c r="A64" s="348" t="s">
        <v>56</v>
      </c>
      <c r="B64" s="348" t="s">
        <v>57</v>
      </c>
      <c r="C64" s="334">
        <v>0</v>
      </c>
      <c r="D64" s="334">
        <v>0</v>
      </c>
      <c r="E64" s="334">
        <v>0</v>
      </c>
      <c r="F64" s="334">
        <v>0</v>
      </c>
    </row>
    <row r="65" spans="1:6">
      <c r="A65" s="348" t="s">
        <v>56</v>
      </c>
      <c r="B65" s="348" t="s">
        <v>29</v>
      </c>
      <c r="C65" s="334">
        <v>2</v>
      </c>
      <c r="D65" s="334">
        <v>65374.458416000001</v>
      </c>
      <c r="E65" s="334">
        <v>2</v>
      </c>
      <c r="F65" s="334">
        <v>3004.3049165000002</v>
      </c>
    </row>
    <row r="66" spans="1:6">
      <c r="A66" s="348" t="s">
        <v>56</v>
      </c>
      <c r="B66" s="348" t="s">
        <v>58</v>
      </c>
      <c r="C66" s="334">
        <v>0</v>
      </c>
      <c r="D66" s="334">
        <v>0</v>
      </c>
      <c r="E66" s="334">
        <v>3</v>
      </c>
      <c r="F66" s="334">
        <v>9471</v>
      </c>
    </row>
    <row r="67" spans="1:6">
      <c r="A67" s="355" t="s">
        <v>56</v>
      </c>
      <c r="B67" s="355" t="s">
        <v>59</v>
      </c>
      <c r="C67" s="334">
        <v>0</v>
      </c>
      <c r="D67" s="334">
        <v>0</v>
      </c>
      <c r="E67" s="334">
        <v>0</v>
      </c>
      <c r="F67" s="334">
        <v>0</v>
      </c>
    </row>
    <row r="68" spans="1:6">
      <c r="A68" s="341" t="s">
        <v>56</v>
      </c>
      <c r="B68" s="341" t="s">
        <v>60</v>
      </c>
      <c r="C68" s="334">
        <v>4</v>
      </c>
      <c r="D68" s="334">
        <v>62618.748599999999</v>
      </c>
      <c r="E68" s="334">
        <v>10</v>
      </c>
      <c r="F68" s="334">
        <v>90810.375658999998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35920468</v>
      </c>
      <c r="E73" s="476">
        <v>36645883.594464771</v>
      </c>
    </row>
    <row r="74" spans="1:6">
      <c r="A74" s="348" t="s">
        <v>64</v>
      </c>
      <c r="B74" s="348" t="s">
        <v>667</v>
      </c>
      <c r="C74" s="1271" t="s">
        <v>669</v>
      </c>
      <c r="D74" s="476">
        <v>2890572.9934989573</v>
      </c>
      <c r="E74" s="476">
        <v>2903282.8421549238</v>
      </c>
    </row>
    <row r="75" spans="1:6">
      <c r="A75" s="348" t="s">
        <v>65</v>
      </c>
      <c r="B75" s="348" t="s">
        <v>666</v>
      </c>
      <c r="C75" s="1271" t="s">
        <v>670</v>
      </c>
      <c r="D75" s="476">
        <v>66257944</v>
      </c>
      <c r="E75" s="476">
        <v>70440258.905961633</v>
      </c>
    </row>
    <row r="76" spans="1:6">
      <c r="A76" s="348" t="s">
        <v>65</v>
      </c>
      <c r="B76" s="348" t="s">
        <v>667</v>
      </c>
      <c r="C76" s="1271" t="s">
        <v>671</v>
      </c>
      <c r="D76" s="476">
        <v>4014166.9934989573</v>
      </c>
      <c r="E76" s="476">
        <v>4153239.4720688718</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213240.01300208521</v>
      </c>
      <c r="C83" s="476">
        <v>213240.01300208521</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3654.658766128257</v>
      </c>
    </row>
    <row r="92" spans="1:6">
      <c r="A92" s="341" t="s">
        <v>69</v>
      </c>
      <c r="B92" s="342">
        <v>788.13846184339138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2589</v>
      </c>
    </row>
    <row r="98" spans="1:6">
      <c r="A98" s="348" t="s">
        <v>72</v>
      </c>
      <c r="B98" s="334">
        <v>0</v>
      </c>
    </row>
    <row r="99" spans="1:6">
      <c r="A99" s="348" t="s">
        <v>73</v>
      </c>
      <c r="B99" s="334">
        <v>69</v>
      </c>
    </row>
    <row r="100" spans="1:6">
      <c r="A100" s="348" t="s">
        <v>74</v>
      </c>
      <c r="B100" s="334">
        <v>547</v>
      </c>
    </row>
    <row r="101" spans="1:6">
      <c r="A101" s="348" t="s">
        <v>75</v>
      </c>
      <c r="B101" s="334">
        <v>86</v>
      </c>
    </row>
    <row r="102" spans="1:6">
      <c r="A102" s="348" t="s">
        <v>76</v>
      </c>
      <c r="B102" s="334">
        <v>115</v>
      </c>
    </row>
    <row r="103" spans="1:6">
      <c r="A103" s="348" t="s">
        <v>77</v>
      </c>
      <c r="B103" s="334">
        <v>283</v>
      </c>
    </row>
    <row r="104" spans="1:6">
      <c r="A104" s="348" t="s">
        <v>78</v>
      </c>
      <c r="B104" s="334">
        <v>3142</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26</v>
      </c>
      <c r="C123" s="334">
        <v>39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1</v>
      </c>
    </row>
    <row r="131" spans="1:6">
      <c r="A131" s="348" t="s">
        <v>296</v>
      </c>
      <c r="B131" s="334">
        <v>0</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128080.3300828027</v>
      </c>
      <c r="C3" s="43" t="s">
        <v>170</v>
      </c>
      <c r="D3" s="43"/>
      <c r="E3" s="154"/>
      <c r="F3" s="43"/>
      <c r="G3" s="43"/>
      <c r="H3" s="43"/>
      <c r="I3" s="43"/>
      <c r="J3" s="43"/>
      <c r="K3" s="96"/>
    </row>
    <row r="4" spans="1:11">
      <c r="A4" s="383" t="s">
        <v>171</v>
      </c>
      <c r="B4" s="49">
        <f>IF(ISERROR('SEAP template'!B69),0,'SEAP template'!B69)</f>
        <v>6174.1722279716487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411.45617647058833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0.21355907690669582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587.7945378151262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2473.3928571428573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1060.3399999999999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1060.3399999999999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0.21355907690669582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226.44523160724583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28838.783942000002</v>
      </c>
      <c r="C5" s="17">
        <f>IF(ISERROR('Eigen informatie GS &amp; warmtenet'!B57),0,'Eigen informatie GS &amp; warmtenet'!B57)</f>
        <v>0</v>
      </c>
      <c r="D5" s="30">
        <f>(SUM(HH_hh_gas_kWh,HH_rest_gas_kWh)/1000)*0.902</f>
        <v>69823.377451740002</v>
      </c>
      <c r="E5" s="17">
        <f>B46*B57</f>
        <v>4094.9975820673835</v>
      </c>
      <c r="F5" s="17">
        <f>B51*B62</f>
        <v>21581.753858964392</v>
      </c>
      <c r="G5" s="18"/>
      <c r="H5" s="17"/>
      <c r="I5" s="17"/>
      <c r="J5" s="17">
        <f>B50*B61+C50*C61</f>
        <v>1002.9283959178777</v>
      </c>
      <c r="K5" s="17"/>
      <c r="L5" s="17"/>
      <c r="M5" s="17"/>
      <c r="N5" s="17">
        <f>B48*B59+C48*C59</f>
        <v>14495.441140413644</v>
      </c>
      <c r="O5" s="17">
        <f>B69*B70*B71</f>
        <v>242.31666666666666</v>
      </c>
      <c r="P5" s="17">
        <f>B77*B78*B79/1000-B77*B78*B79/1000/B80</f>
        <v>800.8</v>
      </c>
    </row>
    <row r="6" spans="1:16">
      <c r="A6" s="16" t="s">
        <v>624</v>
      </c>
      <c r="B6" s="843">
        <f>kWh_PV_kleiner_dan_10kW</f>
        <v>3654.658766128257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32493.442708128259</v>
      </c>
      <c r="C8" s="21">
        <f>C5</f>
        <v>0</v>
      </c>
      <c r="D8" s="21">
        <f>D5</f>
        <v>69823.377451740002</v>
      </c>
      <c r="E8" s="21">
        <f>E5</f>
        <v>4094.9975820673835</v>
      </c>
      <c r="F8" s="21">
        <f>F5</f>
        <v>21581.753858964392</v>
      </c>
      <c r="G8" s="21"/>
      <c r="H8" s="21"/>
      <c r="I8" s="21"/>
      <c r="J8" s="21">
        <f>J5</f>
        <v>1002.9283959178777</v>
      </c>
      <c r="K8" s="21"/>
      <c r="L8" s="21">
        <f>L5</f>
        <v>0</v>
      </c>
      <c r="M8" s="21">
        <f>M5</f>
        <v>0</v>
      </c>
      <c r="N8" s="21">
        <f>N5</f>
        <v>14495.441140413644</v>
      </c>
      <c r="O8" s="21">
        <f>O5</f>
        <v>242.31666666666666</v>
      </c>
      <c r="P8" s="21">
        <f>P5</f>
        <v>800.8</v>
      </c>
    </row>
    <row r="9" spans="1:16">
      <c r="B9" s="19"/>
      <c r="C9" s="19"/>
      <c r="D9" s="258"/>
      <c r="E9" s="19"/>
      <c r="F9" s="19"/>
      <c r="G9" s="19"/>
      <c r="H9" s="19"/>
      <c r="I9" s="19"/>
      <c r="J9" s="19"/>
      <c r="K9" s="19"/>
      <c r="L9" s="19"/>
      <c r="M9" s="19"/>
      <c r="N9" s="19"/>
      <c r="O9" s="19"/>
      <c r="P9" s="19"/>
    </row>
    <row r="10" spans="1:16">
      <c r="A10" s="24" t="s">
        <v>214</v>
      </c>
      <c r="B10" s="25">
        <f ca="1">'EF ele_warmte'!B12</f>
        <v>0.21355907690669582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6939.2696302684772</v>
      </c>
      <c r="C12" s="23">
        <f ca="1">C10*C8</f>
        <v>0</v>
      </c>
      <c r="D12" s="23">
        <f>D8*D10</f>
        <v>14104.322245251482</v>
      </c>
      <c r="E12" s="23">
        <f>E10*E8</f>
        <v>929.56445112929612</v>
      </c>
      <c r="F12" s="23">
        <f>F10*F8</f>
        <v>5762.3282803434931</v>
      </c>
      <c r="G12" s="23"/>
      <c r="H12" s="23"/>
      <c r="I12" s="23"/>
      <c r="J12" s="23">
        <f>J10*J8</f>
        <v>355.03665215492867</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2589</v>
      </c>
      <c r="C18" s="166" t="s">
        <v>111</v>
      </c>
      <c r="D18" s="228"/>
      <c r="E18" s="15"/>
    </row>
    <row r="19" spans="1:7">
      <c r="A19" s="171" t="s">
        <v>72</v>
      </c>
      <c r="B19" s="37">
        <f>aantalw2001_ander</f>
        <v>0</v>
      </c>
      <c r="C19" s="166" t="s">
        <v>111</v>
      </c>
      <c r="D19" s="229"/>
      <c r="E19" s="15"/>
    </row>
    <row r="20" spans="1:7">
      <c r="A20" s="171" t="s">
        <v>73</v>
      </c>
      <c r="B20" s="37">
        <f>aantalw2001_propaan</f>
        <v>69</v>
      </c>
      <c r="C20" s="167">
        <f>IF(ISERROR(B20/SUM($B$20,$B$21,$B$22)*100),0,B20/SUM($B$20,$B$21,$B$22)*100)</f>
        <v>9.8290598290598297</v>
      </c>
      <c r="D20" s="229"/>
      <c r="E20" s="15"/>
    </row>
    <row r="21" spans="1:7">
      <c r="A21" s="171" t="s">
        <v>74</v>
      </c>
      <c r="B21" s="37">
        <f>aantalw2001_elektriciteit</f>
        <v>547</v>
      </c>
      <c r="C21" s="167">
        <f>IF(ISERROR(B21/SUM($B$20,$B$21,$B$22)*100),0,B21/SUM($B$20,$B$21,$B$22)*100)</f>
        <v>77.92022792022793</v>
      </c>
      <c r="D21" s="229"/>
      <c r="E21" s="15"/>
    </row>
    <row r="22" spans="1:7">
      <c r="A22" s="171" t="s">
        <v>75</v>
      </c>
      <c r="B22" s="37">
        <f>aantalw2001_hout</f>
        <v>86</v>
      </c>
      <c r="C22" s="167">
        <f>IF(ISERROR(B22/SUM($B$20,$B$21,$B$22)*100),0,B22/SUM($B$20,$B$21,$B$22)*100)</f>
        <v>12.250712250712251</v>
      </c>
      <c r="D22" s="229"/>
      <c r="E22" s="15"/>
    </row>
    <row r="23" spans="1:7">
      <c r="A23" s="171" t="s">
        <v>76</v>
      </c>
      <c r="B23" s="37">
        <f>aantalw2001_niet_gespec</f>
        <v>115</v>
      </c>
      <c r="C23" s="166" t="s">
        <v>111</v>
      </c>
      <c r="D23" s="228"/>
      <c r="E23" s="15"/>
    </row>
    <row r="24" spans="1:7">
      <c r="A24" s="171" t="s">
        <v>77</v>
      </c>
      <c r="B24" s="37">
        <f>aantalw2001_steenkool</f>
        <v>283</v>
      </c>
      <c r="C24" s="166" t="s">
        <v>111</v>
      </c>
      <c r="D24" s="229"/>
      <c r="E24" s="15"/>
    </row>
    <row r="25" spans="1:7">
      <c r="A25" s="171" t="s">
        <v>78</v>
      </c>
      <c r="B25" s="37">
        <f>aantalw2001_stookolie</f>
        <v>3142</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7898</v>
      </c>
      <c r="C28" s="36"/>
      <c r="D28" s="228"/>
    </row>
    <row r="29" spans="1:7" s="15" customFormat="1">
      <c r="A29" s="230" t="s">
        <v>699</v>
      </c>
      <c r="B29" s="37">
        <f>SUM(HH_hh_gas_aantal,HH_rest_gas_aantal)</f>
        <v>5095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5095</v>
      </c>
      <c r="C32" s="167">
        <f>IF(ISERROR(B32/SUM($B$32,$B$34,$B$35,$B$36,$B$38,$B$39)*100),0,B32/SUM($B$32,$B$34,$B$35,$B$36,$B$38,$B$39)*100)</f>
        <v>64.854887983706718</v>
      </c>
      <c r="D32" s="233"/>
      <c r="G32" s="15"/>
    </row>
    <row r="33" spans="1:7">
      <c r="A33" s="171" t="s">
        <v>72</v>
      </c>
      <c r="B33" s="34" t="s">
        <v>111</v>
      </c>
      <c r="C33" s="167"/>
      <c r="D33" s="233"/>
      <c r="G33" s="15"/>
    </row>
    <row r="34" spans="1:7">
      <c r="A34" s="171" t="s">
        <v>73</v>
      </c>
      <c r="B34" s="33">
        <f>IF((($B$28-$B$32-$B$39-$B$77-$B$38)*C20/100)&lt;0,0,($B$28-$B$32-$B$39-$B$77-$B$38)*C20/100)</f>
        <v>181.05128205128207</v>
      </c>
      <c r="C34" s="167">
        <f>IF(ISERROR(B34/SUM($B$32,$B$34,$B$35,$B$36,$B$38,$B$39)*100),0,B34/SUM($B$32,$B$34,$B$35,$B$36,$B$38,$B$39)*100)</f>
        <v>2.30462426236357</v>
      </c>
      <c r="D34" s="233"/>
      <c r="G34" s="15"/>
    </row>
    <row r="35" spans="1:7">
      <c r="A35" s="171" t="s">
        <v>74</v>
      </c>
      <c r="B35" s="33">
        <f>IF((($B$28-$B$32-$B$39-$B$77-$B$38)*C21/100)&lt;0,0,($B$28-$B$32-$B$39-$B$77-$B$38)*C21/100)</f>
        <v>1435.2905982905984</v>
      </c>
      <c r="C35" s="167">
        <f>IF(ISERROR(B35/SUM($B$32,$B$34,$B$35,$B$36,$B$38,$B$39)*100),0,B35/SUM($B$32,$B$34,$B$35,$B$36,$B$38,$B$39)*100)</f>
        <v>18.269992340766272</v>
      </c>
      <c r="D35" s="233"/>
      <c r="G35" s="15"/>
    </row>
    <row r="36" spans="1:7">
      <c r="A36" s="171" t="s">
        <v>75</v>
      </c>
      <c r="B36" s="33">
        <f>IF((($B$28-$B$32-$B$39-$B$77-$B$38)*C22/100)&lt;0,0,($B$28-$B$32-$B$39-$B$77-$B$38)*C22/100)</f>
        <v>225.65811965811966</v>
      </c>
      <c r="C36" s="167">
        <f>IF(ISERROR(B36/SUM($B$32,$B$34,$B$35,$B$36,$B$38,$B$39)*100),0,B36/SUM($B$32,$B$34,$B$35,$B$36,$B$38,$B$39)*100)</f>
        <v>2.8724302400473483</v>
      </c>
      <c r="D36" s="233"/>
      <c r="G36" s="15"/>
    </row>
    <row r="37" spans="1:7">
      <c r="A37" s="171" t="s">
        <v>76</v>
      </c>
      <c r="B37" s="34" t="s">
        <v>111</v>
      </c>
      <c r="C37" s="167"/>
      <c r="D37" s="173"/>
      <c r="G37" s="15"/>
    </row>
    <row r="38" spans="1:7">
      <c r="A38" s="171" t="s">
        <v>77</v>
      </c>
      <c r="B38" s="33">
        <f>IF((B24-(B29-B18)*0.1)&lt;0,0,B24-(B29-B18)*0.1)</f>
        <v>32.399999999999977</v>
      </c>
      <c r="C38" s="167">
        <f>IF(ISERROR(B38/SUM($B$32,$B$34,$B$35,$B$36,$B$38,$B$39)*100),0,B38/SUM($B$32,$B$34,$B$35,$B$36,$B$38,$B$39)*100)</f>
        <v>0.4124236252545822</v>
      </c>
      <c r="D38" s="234"/>
      <c r="G38" s="15"/>
    </row>
    <row r="39" spans="1:7">
      <c r="A39" s="171" t="s">
        <v>78</v>
      </c>
      <c r="B39" s="33">
        <f>IF((B25-(B29-B18))&lt;0,0,B25-(B29-B18)*0.9)</f>
        <v>886.59999999999991</v>
      </c>
      <c r="C39" s="167">
        <f>IF(ISERROR(B39/SUM($B$32,$B$34,$B$35,$B$36,$B$38,$B$39)*100),0,B39/SUM($B$32,$B$34,$B$35,$B$36,$B$38,$B$39)*100)</f>
        <v>11.285641547861507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5095</v>
      </c>
      <c r="C44" s="34" t="s">
        <v>111</v>
      </c>
      <c r="D44" s="174"/>
    </row>
    <row r="45" spans="1:7">
      <c r="A45" s="171" t="s">
        <v>72</v>
      </c>
      <c r="B45" s="33" t="str">
        <f t="shared" si="0"/>
        <v>-</v>
      </c>
      <c r="C45" s="34" t="s">
        <v>111</v>
      </c>
      <c r="D45" s="174"/>
    </row>
    <row r="46" spans="1:7">
      <c r="A46" s="171" t="s">
        <v>73</v>
      </c>
      <c r="B46" s="33">
        <f t="shared" si="0"/>
        <v>181.05128205128207</v>
      </c>
      <c r="C46" s="34" t="s">
        <v>111</v>
      </c>
      <c r="D46" s="174"/>
    </row>
    <row r="47" spans="1:7">
      <c r="A47" s="171" t="s">
        <v>74</v>
      </c>
      <c r="B47" s="33">
        <f t="shared" si="0"/>
        <v>1435.2905982905984</v>
      </c>
      <c r="C47" s="34" t="s">
        <v>111</v>
      </c>
      <c r="D47" s="174"/>
    </row>
    <row r="48" spans="1:7">
      <c r="A48" s="171" t="s">
        <v>75</v>
      </c>
      <c r="B48" s="33">
        <f t="shared" si="0"/>
        <v>225.65811965811966</v>
      </c>
      <c r="C48" s="33">
        <f>B48*10</f>
        <v>2256.5811965811968</v>
      </c>
      <c r="D48" s="234"/>
    </row>
    <row r="49" spans="1:6">
      <c r="A49" s="171" t="s">
        <v>76</v>
      </c>
      <c r="B49" s="33" t="str">
        <f t="shared" si="0"/>
        <v>-</v>
      </c>
      <c r="C49" s="34" t="s">
        <v>111</v>
      </c>
      <c r="D49" s="234"/>
    </row>
    <row r="50" spans="1:6">
      <c r="A50" s="171" t="s">
        <v>77</v>
      </c>
      <c r="B50" s="33">
        <f t="shared" si="0"/>
        <v>32.399999999999977</v>
      </c>
      <c r="C50" s="33">
        <f>B50*2</f>
        <v>64.799999999999955</v>
      </c>
      <c r="D50" s="234"/>
    </row>
    <row r="51" spans="1:6">
      <c r="A51" s="171" t="s">
        <v>78</v>
      </c>
      <c r="B51" s="33">
        <f t="shared" si="0"/>
        <v>886.59999999999991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155</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12146.73881185</v>
      </c>
      <c r="C5" s="17">
        <f>IF(ISERROR('Eigen informatie GS &amp; warmtenet'!B58),0,'Eigen informatie GS &amp; warmtenet'!B58)</f>
        <v>0</v>
      </c>
      <c r="D5" s="30">
        <f>SUM(D6:D12)</f>
        <v>15771.948792405959</v>
      </c>
      <c r="E5" s="17">
        <f>SUM(E6:E12)</f>
        <v>263.88712363152962</v>
      </c>
      <c r="F5" s="17">
        <f>SUM(F6:F12)</f>
        <v>3019.4731115374179</v>
      </c>
      <c r="G5" s="18"/>
      <c r="H5" s="17"/>
      <c r="I5" s="17"/>
      <c r="J5" s="17">
        <f>SUM(J6:J12)</f>
        <v>0</v>
      </c>
      <c r="K5" s="17"/>
      <c r="L5" s="17"/>
      <c r="M5" s="17"/>
      <c r="N5" s="17">
        <f>SUM(N6:N12)</f>
        <v>1069.3548793958325</v>
      </c>
      <c r="O5" s="17">
        <f>B38*B39*B40</f>
        <v>1.5633333333333335</v>
      </c>
      <c r="P5" s="17">
        <f>B46*B47*B48/1000-B46*B47*B48/1000/B49</f>
        <v>0</v>
      </c>
      <c r="R5" s="32"/>
    </row>
    <row r="6" spans="1:18">
      <c r="A6" s="32" t="s">
        <v>54</v>
      </c>
      <c r="B6" s="37">
        <f>B26</f>
        <v>2573.6612141999999</v>
      </c>
      <c r="C6" s="33"/>
      <c r="D6" s="37">
        <f>IF(ISERROR(TER_kantoor_gas_kWh/1000),0,TER_kantoor_gas_kWh/1000)*0.902</f>
        <v>3942.0134974945995</v>
      </c>
      <c r="E6" s="33">
        <f>$C$26*'E Balans VL '!I12/100/3.6*1000000</f>
        <v>33.692395584788947</v>
      </c>
      <c r="F6" s="33">
        <f>$C$26*('E Balans VL '!L12+'E Balans VL '!N12)/100/3.6*1000000</f>
        <v>656.25701439947431</v>
      </c>
      <c r="G6" s="34"/>
      <c r="H6" s="33"/>
      <c r="I6" s="33"/>
      <c r="J6" s="33">
        <f>$C$26*('E Balans VL '!D12+'E Balans VL '!E12)/100/3.6*1000000</f>
        <v>0</v>
      </c>
      <c r="K6" s="33"/>
      <c r="L6" s="33"/>
      <c r="M6" s="33"/>
      <c r="N6" s="33">
        <f>$C$26*'E Balans VL '!Y12/100/3.6*1000000</f>
        <v>2.582327880486293</v>
      </c>
      <c r="O6" s="33"/>
      <c r="P6" s="33"/>
      <c r="R6" s="32"/>
    </row>
    <row r="7" spans="1:18">
      <c r="A7" s="32" t="s">
        <v>53</v>
      </c>
      <c r="B7" s="37">
        <f t="shared" ref="B7:B12" si="0">B27</f>
        <v>1421.9047292</v>
      </c>
      <c r="C7" s="33"/>
      <c r="D7" s="37">
        <f>IF(ISERROR(TER_horeca_gas_kWh/1000),0,TER_horeca_gas_kWh/1000)*0.902</f>
        <v>1714.036408337</v>
      </c>
      <c r="E7" s="33">
        <f>$C$27*'E Balans VL '!I9/100/3.6*1000000</f>
        <v>47.056397380196366</v>
      </c>
      <c r="F7" s="33">
        <f>$C$27*('E Balans VL '!L9+'E Balans VL '!N9)/100/3.6*1000000</f>
        <v>611.41358415700154</v>
      </c>
      <c r="G7" s="34"/>
      <c r="H7" s="33"/>
      <c r="I7" s="33"/>
      <c r="J7" s="33">
        <f>$C$27*('E Balans VL '!D9+'E Balans VL '!E9)/100/3.6*1000000</f>
        <v>0</v>
      </c>
      <c r="K7" s="33"/>
      <c r="L7" s="33"/>
      <c r="M7" s="33"/>
      <c r="N7" s="33">
        <f>$C$27*'E Balans VL '!Y9/100/3.6*1000000</f>
        <v>0.34227311664107313</v>
      </c>
      <c r="O7" s="33"/>
      <c r="P7" s="33"/>
      <c r="R7" s="32"/>
    </row>
    <row r="8" spans="1:18">
      <c r="A8" s="6" t="s">
        <v>52</v>
      </c>
      <c r="B8" s="37">
        <f t="shared" si="0"/>
        <v>4931.4602777999999</v>
      </c>
      <c r="C8" s="33"/>
      <c r="D8" s="37">
        <f>IF(ISERROR(TER_handel_gas_kWh/1000),0,TER_handel_gas_kWh/1000)*0.902</f>
        <v>2004.5877095354001</v>
      </c>
      <c r="E8" s="33">
        <f>$C$28*'E Balans VL '!I13/100/3.6*1000000</f>
        <v>155.64442141437988</v>
      </c>
      <c r="F8" s="33">
        <f>$C$28*('E Balans VL '!L13+'E Balans VL '!N13)/100/3.6*1000000</f>
        <v>967.14619810071429</v>
      </c>
      <c r="G8" s="34"/>
      <c r="H8" s="33"/>
      <c r="I8" s="33"/>
      <c r="J8" s="33">
        <f>$C$28*('E Balans VL '!D13+'E Balans VL '!E13)/100/3.6*1000000</f>
        <v>0</v>
      </c>
      <c r="K8" s="33"/>
      <c r="L8" s="33"/>
      <c r="M8" s="33"/>
      <c r="N8" s="33">
        <f>$C$28*'E Balans VL '!Y13/100/3.6*1000000</f>
        <v>5.852685918489537</v>
      </c>
      <c r="O8" s="33"/>
      <c r="P8" s="33"/>
      <c r="R8" s="32"/>
    </row>
    <row r="9" spans="1:18">
      <c r="A9" s="32" t="s">
        <v>51</v>
      </c>
      <c r="B9" s="37">
        <f t="shared" si="0"/>
        <v>486.59386605000003</v>
      </c>
      <c r="C9" s="33"/>
      <c r="D9" s="37">
        <f>IF(ISERROR(TER_gezond_gas_kWh/1000),0,TER_gezond_gas_kWh/1000)*0.902</f>
        <v>386.23613378371999</v>
      </c>
      <c r="E9" s="33">
        <f>$C$29*'E Balans VL '!I10/100/3.6*1000000</f>
        <v>6.2298249842103595E-2</v>
      </c>
      <c r="F9" s="33">
        <f>$C$29*('E Balans VL '!L10+'E Balans VL '!N10)/100/3.6*1000000</f>
        <v>101.3778973162096</v>
      </c>
      <c r="G9" s="34"/>
      <c r="H9" s="33"/>
      <c r="I9" s="33"/>
      <c r="J9" s="33">
        <f>$C$29*('E Balans VL '!D10+'E Balans VL '!E10)/100/3.6*1000000</f>
        <v>0</v>
      </c>
      <c r="K9" s="33"/>
      <c r="L9" s="33"/>
      <c r="M9" s="33"/>
      <c r="N9" s="33">
        <f>$C$29*'E Balans VL '!Y10/100/3.6*1000000</f>
        <v>5.715274951254762</v>
      </c>
      <c r="O9" s="33"/>
      <c r="P9" s="33"/>
      <c r="R9" s="32"/>
    </row>
    <row r="10" spans="1:18">
      <c r="A10" s="32" t="s">
        <v>50</v>
      </c>
      <c r="B10" s="37">
        <f t="shared" si="0"/>
        <v>1176.3098892999999</v>
      </c>
      <c r="C10" s="33"/>
      <c r="D10" s="37">
        <f>IF(ISERROR(TER_ander_gas_kWh/1000),0,TER_ander_gas_kWh/1000)*0.902</f>
        <v>2925.9605984532</v>
      </c>
      <c r="E10" s="33">
        <f>$C$30*'E Balans VL '!I14/100/3.6*1000000</f>
        <v>1.7688934459005059</v>
      </c>
      <c r="F10" s="33">
        <f>$C$30*('E Balans VL '!L14+'E Balans VL '!N14)/100/3.6*1000000</f>
        <v>259.69130568222596</v>
      </c>
      <c r="G10" s="34"/>
      <c r="H10" s="33"/>
      <c r="I10" s="33"/>
      <c r="J10" s="33">
        <f>$C$30*('E Balans VL '!D14+'E Balans VL '!E14)/100/3.6*1000000</f>
        <v>0</v>
      </c>
      <c r="K10" s="33"/>
      <c r="L10" s="33"/>
      <c r="M10" s="33"/>
      <c r="N10" s="33">
        <f>$C$30*'E Balans VL '!Y14/100/3.6*1000000</f>
        <v>927.01135543921998</v>
      </c>
      <c r="O10" s="33"/>
      <c r="P10" s="33"/>
      <c r="R10" s="32"/>
    </row>
    <row r="11" spans="1:18">
      <c r="A11" s="32" t="s">
        <v>55</v>
      </c>
      <c r="B11" s="37">
        <f t="shared" si="0"/>
        <v>110.2687346</v>
      </c>
      <c r="C11" s="33"/>
      <c r="D11" s="37">
        <f>IF(ISERROR(TER_onderwijs_gas_kWh/1000),0,TER_onderwijs_gas_kWh/1000)*0.902</f>
        <v>753.57011468023995</v>
      </c>
      <c r="E11" s="33">
        <f>$C$31*'E Balans VL '!I11/100/3.6*1000000</f>
        <v>0.19419248211861845</v>
      </c>
      <c r="F11" s="33">
        <f>$C$31*('E Balans VL '!L11+'E Balans VL '!N11)/100/3.6*1000000</f>
        <v>50.913070074272497</v>
      </c>
      <c r="G11" s="34"/>
      <c r="H11" s="33"/>
      <c r="I11" s="33"/>
      <c r="J11" s="33">
        <f>$C$31*('E Balans VL '!D11+'E Balans VL '!E11)/100/3.6*1000000</f>
        <v>0</v>
      </c>
      <c r="K11" s="33"/>
      <c r="L11" s="33"/>
      <c r="M11" s="33"/>
      <c r="N11" s="33">
        <f>$C$31*'E Balans VL '!Y11/100/3.6*1000000</f>
        <v>0.20543217744172951</v>
      </c>
      <c r="O11" s="33"/>
      <c r="P11" s="33"/>
      <c r="R11" s="32"/>
    </row>
    <row r="12" spans="1:18">
      <c r="A12" s="32" t="s">
        <v>260</v>
      </c>
      <c r="B12" s="37">
        <f t="shared" si="0"/>
        <v>1446.5401007</v>
      </c>
      <c r="C12" s="33"/>
      <c r="D12" s="37">
        <f>IF(ISERROR(TER_rest_gas_kWh/1000),0,TER_rest_gas_kWh/1000)*0.902</f>
        <v>4045.5443301217997</v>
      </c>
      <c r="E12" s="33">
        <f>$C$32*'E Balans VL '!I8/100/3.6*1000000</f>
        <v>25.468525074303184</v>
      </c>
      <c r="F12" s="33">
        <f>$C$32*('E Balans VL '!L8+'E Balans VL '!N8)/100/3.6*1000000</f>
        <v>372.67404180751976</v>
      </c>
      <c r="G12" s="34"/>
      <c r="H12" s="33"/>
      <c r="I12" s="33"/>
      <c r="J12" s="33">
        <f>$C$32*('E Balans VL '!D8+'E Balans VL '!E8)/100/3.6*1000000</f>
        <v>0</v>
      </c>
      <c r="K12" s="33"/>
      <c r="L12" s="33"/>
      <c r="M12" s="33"/>
      <c r="N12" s="33">
        <f>$C$32*'E Balans VL '!Y8/100/3.6*1000000</f>
        <v>127.64552991229925</v>
      </c>
      <c r="O12" s="33"/>
      <c r="P12" s="33"/>
      <c r="R12" s="32"/>
    </row>
    <row r="13" spans="1:18">
      <c r="A13" s="16" t="s">
        <v>491</v>
      </c>
      <c r="B13" s="247">
        <f ca="1">'lokale energieproductie'!N90+'lokale energieproductie'!N59</f>
        <v>54</v>
      </c>
      <c r="C13" s="247">
        <f ca="1">'lokale energieproductie'!O90+'lokale energieproductie'!O59</f>
        <v>77.142857142857139</v>
      </c>
      <c r="D13" s="310">
        <f ca="1">('lokale energieproductie'!P59+'lokale energieproductie'!P90)*(-1)</f>
        <v>-154.28571428571431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12200.73881185</v>
      </c>
      <c r="C16" s="21">
        <f t="shared" ca="1" si="1"/>
        <v>77.142857142857139</v>
      </c>
      <c r="D16" s="21">
        <f t="shared" ca="1" si="1"/>
        <v>15617.663078120246</v>
      </c>
      <c r="E16" s="21">
        <f t="shared" si="1"/>
        <v>263.88712363152962</v>
      </c>
      <c r="F16" s="21">
        <f t="shared" ca="1" si="1"/>
        <v>3019.4731115374179</v>
      </c>
      <c r="G16" s="21">
        <f t="shared" si="1"/>
        <v>0</v>
      </c>
      <c r="H16" s="21">
        <f t="shared" si="1"/>
        <v>0</v>
      </c>
      <c r="I16" s="21">
        <f t="shared" si="1"/>
        <v>0</v>
      </c>
      <c r="J16" s="21">
        <f t="shared" si="1"/>
        <v>0</v>
      </c>
      <c r="K16" s="21">
        <f t="shared" si="1"/>
        <v>0</v>
      </c>
      <c r="L16" s="21">
        <f t="shared" ca="1" si="1"/>
        <v>0</v>
      </c>
      <c r="M16" s="21">
        <f t="shared" si="1"/>
        <v>0</v>
      </c>
      <c r="N16" s="21">
        <f t="shared" ca="1" si="1"/>
        <v>1069.3548793958325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0.21355907690669582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2605.5785182383829</v>
      </c>
      <c r="C20" s="23">
        <f t="shared" ref="C20:P20" ca="1" si="2">C16*C18</f>
        <v>18.3327731092437</v>
      </c>
      <c r="D20" s="23">
        <f t="shared" ca="1" si="2"/>
        <v>3154.7679417802897</v>
      </c>
      <c r="E20" s="23">
        <f t="shared" si="2"/>
        <v>59.902377064357225</v>
      </c>
      <c r="F20" s="23">
        <f t="shared" ca="1" si="2"/>
        <v>806.19932078049067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2573.6612141999999</v>
      </c>
      <c r="C26" s="39">
        <f>IF(ISERROR(B26*3.6/1000000/'E Balans VL '!Z12*100),0,B26*3.6/1000000/'E Balans VL '!Z12*100)</f>
        <v>5.5129822607705624E-2</v>
      </c>
      <c r="D26" s="237" t="s">
        <v>660</v>
      </c>
      <c r="F26" s="6"/>
    </row>
    <row r="27" spans="1:18">
      <c r="A27" s="231" t="s">
        <v>53</v>
      </c>
      <c r="B27" s="33">
        <f>IF(ISERROR(TER_horeca_ele_kWh/1000),0,TER_horeca_ele_kWh/1000)</f>
        <v>1421.9047292</v>
      </c>
      <c r="C27" s="39">
        <f>IF(ISERROR(B27*3.6/1000000/'E Balans VL '!Z9*100),0,B27*3.6/1000000/'E Balans VL '!Z9*100)</f>
        <v>0.11410291202791012</v>
      </c>
      <c r="D27" s="237" t="s">
        <v>660</v>
      </c>
      <c r="F27" s="6"/>
    </row>
    <row r="28" spans="1:18">
      <c r="A28" s="171" t="s">
        <v>52</v>
      </c>
      <c r="B28" s="33">
        <f>IF(ISERROR(TER_handel_ele_kWh/1000),0,TER_handel_ele_kWh/1000)</f>
        <v>4931.4602777999999</v>
      </c>
      <c r="C28" s="39">
        <f>IF(ISERROR(B28*3.6/1000000/'E Balans VL '!Z13*100),0,B28*3.6/1000000/'E Balans VL '!Z13*100)</f>
        <v>0.14544979246717257</v>
      </c>
      <c r="D28" s="237" t="s">
        <v>660</v>
      </c>
      <c r="F28" s="6"/>
    </row>
    <row r="29" spans="1:18">
      <c r="A29" s="231" t="s">
        <v>51</v>
      </c>
      <c r="B29" s="33">
        <f>IF(ISERROR(TER_gezond_ele_kWh/1000),0,TER_gezond_ele_kWh/1000)</f>
        <v>486.59386605000003</v>
      </c>
      <c r="C29" s="39">
        <f>IF(ISERROR(B29*3.6/1000000/'E Balans VL '!Z10*100),0,B29*3.6/1000000/'E Balans VL '!Z10*100)</f>
        <v>5.1955178823367573E-2</v>
      </c>
      <c r="D29" s="237" t="s">
        <v>660</v>
      </c>
      <c r="F29" s="6"/>
    </row>
    <row r="30" spans="1:18">
      <c r="A30" s="231" t="s">
        <v>50</v>
      </c>
      <c r="B30" s="33">
        <f>IF(ISERROR(TER_ander_ele_kWh/1000),0,TER_ander_ele_kWh/1000)</f>
        <v>1176.3098892999999</v>
      </c>
      <c r="C30" s="39">
        <f>IF(ISERROR(B30*3.6/1000000/'E Balans VL '!Z14*100),0,B30*3.6/1000000/'E Balans VL '!Z14*100)</f>
        <v>8.8851305121441806E-2</v>
      </c>
      <c r="D30" s="237" t="s">
        <v>660</v>
      </c>
      <c r="F30" s="6"/>
    </row>
    <row r="31" spans="1:18">
      <c r="A31" s="231" t="s">
        <v>55</v>
      </c>
      <c r="B31" s="33">
        <f>IF(ISERROR(TER_onderwijs_ele_kWh/1000),0,TER_onderwijs_ele_kWh/1000)</f>
        <v>110.2687346</v>
      </c>
      <c r="C31" s="39">
        <f>IF(ISERROR(B31*3.6/1000000/'E Balans VL '!Z11*100),0,B31*3.6/1000000/'E Balans VL '!Z11*100)</f>
        <v>2.2266938570477929E-2</v>
      </c>
      <c r="D31" s="237" t="s">
        <v>660</v>
      </c>
    </row>
    <row r="32" spans="1:18">
      <c r="A32" s="231" t="s">
        <v>260</v>
      </c>
      <c r="B32" s="33">
        <f>IF(ISERROR(TER_rest_ele_kWh/1000),0,TER_rest_ele_kWh/1000)</f>
        <v>1446.5401007</v>
      </c>
      <c r="C32" s="39">
        <f>IF(ISERROR(B32*3.6/1000000/'E Balans VL '!Z8*100),0,B32*3.6/1000000/'E Balans VL '!Z8*100)</f>
        <v>1.1993831727361879E-2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79370.346222408989</v>
      </c>
      <c r="C5" s="17">
        <f>IF(ISERROR('Eigen informatie GS &amp; warmtenet'!B59),0,'Eigen informatie GS &amp; warmtenet'!B59)</f>
        <v>0</v>
      </c>
      <c r="D5" s="30">
        <f>SUM(D6:D15)</f>
        <v>37125.156080663095</v>
      </c>
      <c r="E5" s="17">
        <f>SUM(E6:E15)</f>
        <v>2368.473325301662</v>
      </c>
      <c r="F5" s="17">
        <f>SUM(F6:F15)</f>
        <v>18687.883861894818</v>
      </c>
      <c r="G5" s="18"/>
      <c r="H5" s="17"/>
      <c r="I5" s="17"/>
      <c r="J5" s="17">
        <f>SUM(J6:J15)</f>
        <v>29.311043080406748</v>
      </c>
      <c r="K5" s="17"/>
      <c r="L5" s="17"/>
      <c r="M5" s="17"/>
      <c r="N5" s="17">
        <f>SUM(N6:N15)</f>
        <v>29350.915625825997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75.660125319000002</v>
      </c>
      <c r="C8" s="33"/>
      <c r="D8" s="37">
        <f>IF( ISERROR(IND_metaal_Gas_kWH/1000),0,IND_metaal_Gas_kWH/1000)*0.902</f>
        <v>0</v>
      </c>
      <c r="E8" s="33">
        <f>C30*'E Balans VL '!I18/100/3.6*1000000</f>
        <v>2.7224801963725302</v>
      </c>
      <c r="F8" s="33">
        <f>C30*'E Balans VL '!L18/100/3.6*1000000+C30*'E Balans VL '!N18/100/3.6*1000000</f>
        <v>33.038324089423398</v>
      </c>
      <c r="G8" s="34"/>
      <c r="H8" s="33"/>
      <c r="I8" s="33"/>
      <c r="J8" s="40">
        <f>C30*'E Balans VL '!D18/100/3.6*1000000+C30*'E Balans VL '!E18/100/3.6*1000000</f>
        <v>0</v>
      </c>
      <c r="K8" s="33"/>
      <c r="L8" s="33"/>
      <c r="M8" s="33"/>
      <c r="N8" s="33">
        <f>C30*'E Balans VL '!Y18/100/3.6*1000000</f>
        <v>3.7920340644850534</v>
      </c>
      <c r="O8" s="33"/>
      <c r="P8" s="33"/>
      <c r="R8" s="32"/>
    </row>
    <row r="9" spans="1:18">
      <c r="A9" s="6" t="s">
        <v>33</v>
      </c>
      <c r="B9" s="37">
        <f t="shared" si="0"/>
        <v>1191.3705694999999</v>
      </c>
      <c r="C9" s="33"/>
      <c r="D9" s="37">
        <f>IF( ISERROR(IND_andere_gas_kWh/1000),0,IND_andere_gas_kWh/1000)*0.902</f>
        <v>1037.6079102378001</v>
      </c>
      <c r="E9" s="33">
        <f>C31*'E Balans VL '!I19/100/3.6*1000000</f>
        <v>304.0108138222692</v>
      </c>
      <c r="F9" s="33">
        <f>C31*'E Balans VL '!L19/100/3.6*1000000+C31*'E Balans VL '!N19/100/3.6*1000000</f>
        <v>1025.6805134462122</v>
      </c>
      <c r="G9" s="34"/>
      <c r="H9" s="33"/>
      <c r="I9" s="33"/>
      <c r="J9" s="40">
        <f>C31*'E Balans VL '!D19/100/3.6*1000000+C31*'E Balans VL '!E19/100/3.6*1000000</f>
        <v>0</v>
      </c>
      <c r="K9" s="33"/>
      <c r="L9" s="33"/>
      <c r="M9" s="33"/>
      <c r="N9" s="33">
        <f>C31*'E Balans VL '!Y19/100/3.6*1000000</f>
        <v>372.58237726353434</v>
      </c>
      <c r="O9" s="33"/>
      <c r="P9" s="33"/>
      <c r="R9" s="32"/>
    </row>
    <row r="10" spans="1:18">
      <c r="A10" s="6" t="s">
        <v>41</v>
      </c>
      <c r="B10" s="37">
        <f t="shared" si="0"/>
        <v>75273.135181999998</v>
      </c>
      <c r="C10" s="33"/>
      <c r="D10" s="37">
        <f>IF( ISERROR(IND_voed_gas_kWh/1000),0,IND_voed_gas_kWh/1000)*0.902</f>
        <v>32533.832681790005</v>
      </c>
      <c r="E10" s="33">
        <f>C32*'E Balans VL '!I20/100/3.6*1000000</f>
        <v>1913.5464548110976</v>
      </c>
      <c r="F10" s="33">
        <f>C32*'E Balans VL '!L20/100/3.6*1000000+C32*'E Balans VL '!N20/100/3.6*1000000</f>
        <v>17033.180544480805</v>
      </c>
      <c r="G10" s="34"/>
      <c r="H10" s="33"/>
      <c r="I10" s="33"/>
      <c r="J10" s="40">
        <f>C32*'E Balans VL '!D20/100/3.6*1000000+C32*'E Balans VL '!E20/100/3.6*1000000</f>
        <v>0</v>
      </c>
      <c r="K10" s="33"/>
      <c r="L10" s="33"/>
      <c r="M10" s="33"/>
      <c r="N10" s="33">
        <f>C32*'E Balans VL '!Y20/100/3.6*1000000</f>
        <v>28229.466051833868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108.20403389000001</v>
      </c>
      <c r="C13" s="33"/>
      <c r="D13" s="37">
        <f>IF( ISERROR(IND_papier_gas_kWh/1000),0,IND_papier_gas_kWh/1000)*0.902</f>
        <v>52.131976210490002</v>
      </c>
      <c r="E13" s="33">
        <f>C35*'E Balans VL '!I23/100/3.6*1000000</f>
        <v>0.46405562287649732</v>
      </c>
      <c r="F13" s="33">
        <f>C35*'E Balans VL '!L23/100/3.6*1000000+C35*'E Balans VL '!N23/100/3.6*1000000</f>
        <v>2.7195032155970558</v>
      </c>
      <c r="G13" s="34"/>
      <c r="H13" s="33"/>
      <c r="I13" s="33"/>
      <c r="J13" s="40">
        <f>C35*'E Balans VL '!D23/100/3.6*1000000+C35*'E Balans VL '!E23/100/3.6*1000000</f>
        <v>7.2436665942227654</v>
      </c>
      <c r="K13" s="33"/>
      <c r="L13" s="33"/>
      <c r="M13" s="33"/>
      <c r="N13" s="33">
        <f>C35*'E Balans VL '!Y23/100/3.6*1000000</f>
        <v>196.95707358079204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2721.9763116999998</v>
      </c>
      <c r="C15" s="33"/>
      <c r="D15" s="37">
        <f>IF( ISERROR(IND_rest_gas_kWh/1000),0,IND_rest_gas_kWh/1000)*0.902</f>
        <v>3501.5835124248001</v>
      </c>
      <c r="E15" s="33">
        <f>C37*'E Balans VL '!I15/100/3.6*1000000</f>
        <v>147.72952084904648</v>
      </c>
      <c r="F15" s="33">
        <f>C37*'E Balans VL '!L15/100/3.6*1000000+C37*'E Balans VL '!N15/100/3.6*1000000</f>
        <v>593.26497666278021</v>
      </c>
      <c r="G15" s="34"/>
      <c r="H15" s="33"/>
      <c r="I15" s="33"/>
      <c r="J15" s="40">
        <f>C37*'E Balans VL '!D15/100/3.6*1000000+C37*'E Balans VL '!E15/100/3.6*1000000</f>
        <v>22.067376486183981</v>
      </c>
      <c r="K15" s="33"/>
      <c r="L15" s="33"/>
      <c r="M15" s="33"/>
      <c r="N15" s="33">
        <f>C37*'E Balans VL '!Y15/100/3.6*1000000</f>
        <v>548.11808908331659</v>
      </c>
      <c r="O15" s="33"/>
      <c r="P15" s="33"/>
      <c r="R15" s="32"/>
    </row>
    <row r="16" spans="1:18">
      <c r="A16" s="16" t="s">
        <v>491</v>
      </c>
      <c r="B16" s="247">
        <f>'lokale energieproductie'!N89+'lokale energieproductie'!N58</f>
        <v>1677.375</v>
      </c>
      <c r="C16" s="247">
        <f>'lokale energieproductie'!O89+'lokale energieproductie'!O58</f>
        <v>2396.25</v>
      </c>
      <c r="D16" s="310">
        <f>('lokale energieproductie'!P58+'lokale energieproductie'!P89)*(-1)</f>
        <v>-4792.5</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81047.721222408989</v>
      </c>
      <c r="C18" s="21">
        <f>C5+C16</f>
        <v>2396.25</v>
      </c>
      <c r="D18" s="21">
        <f>MAX((D5+D16),0)</f>
        <v>32332.656080663095</v>
      </c>
      <c r="E18" s="21">
        <f>MAX((E5+E16),0)</f>
        <v>2368.473325301662</v>
      </c>
      <c r="F18" s="21">
        <f>MAX((F5+F16),0)</f>
        <v>18687.883861894818</v>
      </c>
      <c r="G18" s="21"/>
      <c r="H18" s="21"/>
      <c r="I18" s="21"/>
      <c r="J18" s="21">
        <f>MAX((J5+J16),0)</f>
        <v>29.311043080406748</v>
      </c>
      <c r="K18" s="21"/>
      <c r="L18" s="21">
        <f>MAX((L5+L16),0)</f>
        <v>0</v>
      </c>
      <c r="M18" s="21"/>
      <c r="N18" s="21">
        <f>MAX((N5+N16),0)</f>
        <v>29350.915625825997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0.21355907690669582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17308.476529648884</v>
      </c>
      <c r="C22" s="23">
        <f ca="1">C18*C20</f>
        <v>569.4617647058825</v>
      </c>
      <c r="D22" s="23">
        <f>D18*D20</f>
        <v>6531.1965282939454</v>
      </c>
      <c r="E22" s="23">
        <f>E18*E20</f>
        <v>537.64344484347725</v>
      </c>
      <c r="F22" s="23">
        <f>F18*F20</f>
        <v>4989.6649911259165</v>
      </c>
      <c r="G22" s="23"/>
      <c r="H22" s="23"/>
      <c r="I22" s="23"/>
      <c r="J22" s="23">
        <f>J18*J20</f>
        <v>10.376109250463989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75.660125319000002</v>
      </c>
      <c r="C30" s="39">
        <f>IF(ISERROR(B30*3.6/1000000/'E Balans VL '!Z18*100),0,B30*3.6/1000000/'E Balans VL '!Z18*100)</f>
        <v>1.6030758444760859E-2</v>
      </c>
      <c r="D30" s="237" t="s">
        <v>660</v>
      </c>
    </row>
    <row r="31" spans="1:18">
      <c r="A31" s="6" t="s">
        <v>33</v>
      </c>
      <c r="B31" s="37">
        <f>IF( ISERROR(IND_ander_ele_kWh/1000),0,IND_ander_ele_kWh/1000)</f>
        <v>1191.3705694999999</v>
      </c>
      <c r="C31" s="39">
        <f>IF(ISERROR(B31*3.6/1000000/'E Balans VL '!Z19*100),0,B31*3.6/1000000/'E Balans VL '!Z19*100)</f>
        <v>5.0147492473871458E-2</v>
      </c>
      <c r="D31" s="237" t="s">
        <v>660</v>
      </c>
    </row>
    <row r="32" spans="1:18">
      <c r="A32" s="171" t="s">
        <v>41</v>
      </c>
      <c r="B32" s="37">
        <f>IF( ISERROR(IND_voed_ele_kWh/1000),0,IND_voed_ele_kWh/1000)</f>
        <v>75273.135181999998</v>
      </c>
      <c r="C32" s="39">
        <f>IF(ISERROR(B32*3.6/1000000/'E Balans VL '!Z20*100),0,B32*3.6/1000000/'E Balans VL '!Z20*100)</f>
        <v>12.575228889103551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108.20403389000001</v>
      </c>
      <c r="C35" s="39">
        <f>IF(ISERROR(B35*3.6/1000000/'E Balans VL '!Z22*100),0,B35*3.6/1000000/'E Balans VL '!Z22*100)</f>
        <v>1.37154448381888E-2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2721.9763116999998</v>
      </c>
      <c r="C37" s="39">
        <f>IF(ISERROR(B37*3.6/1000000/'E Balans VL '!Z15*100),0,B37*3.6/1000000/'E Balans VL '!Z15*100)</f>
        <v>2.1975568761890642E-2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1254.1433374399999</v>
      </c>
      <c r="C5" s="17">
        <f>'Eigen informatie GS &amp; warmtenet'!B60</f>
        <v>0</v>
      </c>
      <c r="D5" s="30">
        <f>IF(ISERROR(SUM(LB_lb_gas_kWh,LB_rest_gas_kWh,onbekend_gas_kWh)/1000),0,SUM(LB_lb_gas_kWh,LB_rest_gas_kWh,onbekend_gas_kWh)/1000)*0.902</f>
        <v>1957.0768651675776</v>
      </c>
      <c r="E5" s="17">
        <f>B17*'E Balans VL '!I25/3.6*1000000/100</f>
        <v>32.339541318887775</v>
      </c>
      <c r="F5" s="17">
        <f>B17*('E Balans VL '!L25/3.6*1000000+'E Balans VL '!N25/3.6*1000000)/100</f>
        <v>4584.132738339651</v>
      </c>
      <c r="G5" s="18"/>
      <c r="H5" s="17"/>
      <c r="I5" s="17"/>
      <c r="J5" s="17">
        <f>('E Balans VL '!D25+'E Balans VL '!E25)/3.6*1000000*landbouw!B17/100</f>
        <v>180.55050485048386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1254.1433374399999</v>
      </c>
      <c r="C8" s="21">
        <f>C5+C6</f>
        <v>0</v>
      </c>
      <c r="D8" s="21">
        <f>MAX((D5+D6),0)</f>
        <v>1957.0768651675776</v>
      </c>
      <c r="E8" s="21">
        <f>MAX((E5+E6),0)</f>
        <v>32.339541318887775</v>
      </c>
      <c r="F8" s="21">
        <f>MAX((F5+F6),0)</f>
        <v>4584.132738339651</v>
      </c>
      <c r="G8" s="21"/>
      <c r="H8" s="21"/>
      <c r="I8" s="21"/>
      <c r="J8" s="21">
        <f>MAX((J5+J6),0)</f>
        <v>180.55050485048386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0.21355907690669582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267.83369345236912</v>
      </c>
      <c r="C12" s="23">
        <f ca="1">C8*C10</f>
        <v>0</v>
      </c>
      <c r="D12" s="23">
        <f>D8*D10</f>
        <v>395.32952676385071</v>
      </c>
      <c r="E12" s="23">
        <f>E8*E10</f>
        <v>7.3410758793875255</v>
      </c>
      <c r="F12" s="23">
        <f>F8*F10</f>
        <v>1223.9634411366869</v>
      </c>
      <c r="G12" s="23"/>
      <c r="H12" s="23"/>
      <c r="I12" s="23"/>
      <c r="J12" s="23">
        <f>J8*J10</f>
        <v>63.914878717071282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0.1768425178382346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155.84149700130934</v>
      </c>
      <c r="C26" s="247">
        <f>B26*'GWP N2O_CH4'!B5</f>
        <v>3272.6714370274958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31.738336127160458</v>
      </c>
      <c r="C27" s="247">
        <f>B27*'GWP N2O_CH4'!B5</f>
        <v>666.50505867036964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1.9530251914820402</v>
      </c>
      <c r="C28" s="247">
        <f>B28*'GWP N2O_CH4'!B4</f>
        <v>605.43780935943244</v>
      </c>
      <c r="D28" s="50"/>
    </row>
    <row r="29" spans="1:4">
      <c r="A29" s="41" t="s">
        <v>277</v>
      </c>
      <c r="B29" s="247">
        <f>B34*'ha_N2O bodem landbouw'!B4</f>
        <v>8.8301924043403126</v>
      </c>
      <c r="C29" s="247">
        <f>B29*'GWP N2O_CH4'!B4</f>
        <v>2737.359645345497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1.9872731375902698E-3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8.619841071163128E-5</v>
      </c>
      <c r="C5" s="463" t="s">
        <v>211</v>
      </c>
      <c r="D5" s="448">
        <f>SUM(D6:D11)</f>
        <v>2.5686885211579437E-4</v>
      </c>
      <c r="E5" s="448">
        <f>SUM(E6:E11)</f>
        <v>9.5269067970514055E-4</v>
      </c>
      <c r="F5" s="461" t="s">
        <v>211</v>
      </c>
      <c r="G5" s="448">
        <f>SUM(G6:G11)</f>
        <v>0.29204751440543464</v>
      </c>
      <c r="H5" s="448">
        <f>SUM(H6:H11)</f>
        <v>6.7950451040678275E-2</v>
      </c>
      <c r="I5" s="463" t="s">
        <v>211</v>
      </c>
      <c r="J5" s="463" t="s">
        <v>211</v>
      </c>
      <c r="K5" s="463" t="s">
        <v>211</v>
      </c>
      <c r="L5" s="463" t="s">
        <v>211</v>
      </c>
      <c r="M5" s="448">
        <f>SUM(M6:M11)</f>
        <v>1.1237193864802267E-2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3.030275371296638E-5</v>
      </c>
      <c r="C6" s="449"/>
      <c r="D6" s="962">
        <f>vkm_2011_GW_PW*SUMIFS(TableVerdeelsleutelVkm[CNG],TableVerdeelsleutelVkm[Voertuigtype],"Lichte voertuigen")*SUMIFS(TableECFTransport[EnergieConsumptieFactor (PJ per km)],TableECFTransport[Index],CONCATENATE($A6,"_CNG_CNG"))</f>
        <v>6.021210242689389E-5</v>
      </c>
      <c r="E6" s="962">
        <f>vkm_2011_GW_PW*SUMIFS(TableVerdeelsleutelVkm[LPG],TableVerdeelsleutelVkm[Voertuigtype],"Lichte voertuigen")*SUMIFS(TableECFTransport[EnergieConsumptieFactor (PJ per km)],TableECFTransport[Index],CONCATENATE($A6,"_LPG_LPG"))</f>
        <v>2.3695620747048293E-4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5.6340055694902684E-2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1.6301227568014543E-2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2.2635694644142202E-3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2.7698041845514904E-2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8.9476505966272438E-6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8.7272291844127587E-4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5.5895656998664896E-5</v>
      </c>
      <c r="C8" s="449"/>
      <c r="D8" s="451">
        <f>vkm_2011_NGW_PW*SUMIFS(TableVerdeelsleutelVkm[CNG],TableVerdeelsleutelVkm[Voertuigtype],"Lichte voertuigen")*SUMIFS(TableECFTransport[EnergieConsumptieFactor (PJ per km)],TableECFTransport[Index],CONCATENATE($A8,"_CNG_CNG"))</f>
        <v>1.9665674968890047E-4</v>
      </c>
      <c r="E8" s="451">
        <f>vkm_2011_NGW_PW*SUMIFS(TableVerdeelsleutelVkm[LPG],TableVerdeelsleutelVkm[Voertuigtype],"Lichte voertuigen")*SUMIFS(TableECFTransport[EnergieConsumptieFactor (PJ per km)],TableECFTransport[Index],CONCATENATE($A8,"_LPG_LPG"))</f>
        <v>7.1573447223465762E-4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0.15891317286463341</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5.1625276503232766E-2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6.5539797746023334E-3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4.9096244000383628E-2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1.4999318834342467E-5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1.5469217073444371E-3</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23.944002975453134</v>
      </c>
      <c r="C14" s="21"/>
      <c r="D14" s="21">
        <f t="shared" ref="D14:M14" si="0">((D5)*10^9/3600)+D12</f>
        <v>71.352458921053994</v>
      </c>
      <c r="E14" s="21">
        <f t="shared" si="0"/>
        <v>264.63629991809461</v>
      </c>
      <c r="F14" s="21"/>
      <c r="G14" s="21">
        <f t="shared" si="0"/>
        <v>81124.309557065179</v>
      </c>
      <c r="H14" s="21">
        <f t="shared" si="0"/>
        <v>18875.125289077299</v>
      </c>
      <c r="I14" s="21"/>
      <c r="J14" s="21"/>
      <c r="K14" s="21"/>
      <c r="L14" s="21"/>
      <c r="M14" s="21">
        <f t="shared" si="0"/>
        <v>3121.4427402228521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0.21355907690669582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5.1134591728889491</v>
      </c>
      <c r="C18" s="23"/>
      <c r="D18" s="23">
        <f t="shared" ref="D18:M18" si="1">D14*D16</f>
        <v>14.413196702052907</v>
      </c>
      <c r="E18" s="23">
        <f t="shared" si="1"/>
        <v>60.072440081407478</v>
      </c>
      <c r="F18" s="23"/>
      <c r="G18" s="23">
        <f t="shared" si="1"/>
        <v>21660.190651736404</v>
      </c>
      <c r="H18" s="23">
        <f t="shared" si="1"/>
        <v>4699.9061969802478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2.7721778482053313E-3</v>
      </c>
      <c r="H50" s="321">
        <f t="shared" si="2"/>
        <v>0</v>
      </c>
      <c r="I50" s="321">
        <f t="shared" si="2"/>
        <v>0</v>
      </c>
      <c r="J50" s="321">
        <f t="shared" si="2"/>
        <v>0</v>
      </c>
      <c r="K50" s="321">
        <f t="shared" si="2"/>
        <v>0</v>
      </c>
      <c r="L50" s="321">
        <f t="shared" si="2"/>
        <v>0</v>
      </c>
      <c r="M50" s="321">
        <f t="shared" si="2"/>
        <v>8.5986754984702265E-5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2.7721778482053313E-3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8.5986754984702265E-5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770.04940227925863</v>
      </c>
      <c r="H54" s="21">
        <f t="shared" si="3"/>
        <v>0</v>
      </c>
      <c r="I54" s="21">
        <f t="shared" si="3"/>
        <v>0</v>
      </c>
      <c r="J54" s="21">
        <f t="shared" si="3"/>
        <v>0</v>
      </c>
      <c r="K54" s="21">
        <f t="shared" si="3"/>
        <v>0</v>
      </c>
      <c r="L54" s="21">
        <f t="shared" si="3"/>
        <v>0</v>
      </c>
      <c r="M54" s="21">
        <f t="shared" si="3"/>
        <v>23.885209717972849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0.21355907690669582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205.60319040856206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4442.7972279716487</v>
      </c>
      <c r="C6" s="1210"/>
      <c r="D6" s="1213"/>
      <c r="E6" s="1213"/>
      <c r="F6" s="1216"/>
      <c r="G6" s="1219"/>
      <c r="H6" s="1207"/>
      <c r="I6" s="1213"/>
      <c r="J6" s="1213"/>
      <c r="K6" s="1213"/>
      <c r="L6" s="1243"/>
      <c r="M6" s="575"/>
      <c r="N6" s="1255"/>
      <c r="O6" s="1256"/>
      <c r="Q6" s="573"/>
      <c r="R6" s="1240"/>
      <c r="S6" s="1240"/>
    </row>
    <row r="7" spans="1:19" s="563" customFormat="1">
      <c r="A7" s="576" t="s">
        <v>252</v>
      </c>
      <c r="B7" s="577">
        <f>N57</f>
        <v>1731.375</v>
      </c>
      <c r="C7" s="578">
        <f>B100</f>
        <v>2036.9117647058827</v>
      </c>
      <c r="D7" s="579"/>
      <c r="E7" s="579">
        <f>E100</f>
        <v>0</v>
      </c>
      <c r="F7" s="580"/>
      <c r="G7" s="581"/>
      <c r="H7" s="579">
        <f>I100</f>
        <v>0</v>
      </c>
      <c r="I7" s="579">
        <f>G100+F100</f>
        <v>0</v>
      </c>
      <c r="J7" s="579">
        <f>H100+D100+C100</f>
        <v>0</v>
      </c>
      <c r="K7" s="579"/>
      <c r="L7" s="582"/>
      <c r="M7" s="583">
        <f>C7*$C$11+D7*$D$11+E7*$E$11+F7*$F$11+G7*$G$11+H7*$H$11+I7*$I$11+J7*$J$11</f>
        <v>411.45617647058833</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6174.1722279716487</v>
      </c>
      <c r="C9" s="594">
        <f t="shared" ref="C9:L9" si="0">SUM(C7:C8)</f>
        <v>2036.9117647058827</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411.45617647058833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2473.3928571428573</v>
      </c>
      <c r="C16" s="610">
        <f>B101</f>
        <v>2909.8739495798327</v>
      </c>
      <c r="D16" s="611"/>
      <c r="E16" s="611">
        <f>E101</f>
        <v>0</v>
      </c>
      <c r="F16" s="612"/>
      <c r="G16" s="613"/>
      <c r="H16" s="610">
        <f>I101</f>
        <v>0</v>
      </c>
      <c r="I16" s="611">
        <f>G101+F101</f>
        <v>0</v>
      </c>
      <c r="J16" s="611">
        <f>H101+D101+C101</f>
        <v>0</v>
      </c>
      <c r="K16" s="611"/>
      <c r="L16" s="614"/>
      <c r="M16" s="615">
        <f>C16*$C$21+E16*$E$21+H16*$H$21+I16*$I$21+J16*$J$21+D16*$D$21+F16*$F$21+G16*$G$21+K16*$K$21+L16*$L$21</f>
        <v>587.7945378151262</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2473.3928571428573</v>
      </c>
      <c r="C19" s="593">
        <f>SUM(C16:C18)</f>
        <v>2909.8739495798327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587.7945378151262</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42011</v>
      </c>
      <c r="C27" s="851">
        <v>9280</v>
      </c>
      <c r="D27" s="672" t="s">
        <v>855</v>
      </c>
      <c r="E27" s="671" t="s">
        <v>856</v>
      </c>
      <c r="F27" s="671" t="s">
        <v>857</v>
      </c>
      <c r="G27" s="671" t="s">
        <v>858</v>
      </c>
      <c r="H27" s="671" t="s">
        <v>859</v>
      </c>
      <c r="I27" s="671" t="s">
        <v>860</v>
      </c>
      <c r="J27" s="850">
        <v>41149</v>
      </c>
      <c r="K27" s="850">
        <v>41809</v>
      </c>
      <c r="L27" s="671" t="s">
        <v>861</v>
      </c>
      <c r="M27" s="671">
        <v>12</v>
      </c>
      <c r="N27" s="671">
        <v>54</v>
      </c>
      <c r="O27" s="671">
        <v>77.142857142857139</v>
      </c>
      <c r="P27" s="671">
        <v>154.28571428571431</v>
      </c>
      <c r="Q27" s="671">
        <v>0</v>
      </c>
      <c r="R27" s="671">
        <v>0</v>
      </c>
      <c r="S27" s="671">
        <v>0</v>
      </c>
      <c r="T27" s="671">
        <v>0</v>
      </c>
      <c r="U27" s="671">
        <v>0</v>
      </c>
      <c r="V27" s="671">
        <v>0</v>
      </c>
      <c r="W27" s="671">
        <v>0</v>
      </c>
      <c r="X27" s="671">
        <v>1500</v>
      </c>
      <c r="Y27" s="671" t="s">
        <v>51</v>
      </c>
      <c r="Z27" s="673" t="s">
        <v>156</v>
      </c>
    </row>
    <row r="28" spans="1:26" s="625" customFormat="1" ht="25.5">
      <c r="A28" s="624"/>
      <c r="B28" s="851">
        <v>42011</v>
      </c>
      <c r="C28" s="851">
        <v>9280</v>
      </c>
      <c r="D28" s="672" t="s">
        <v>862</v>
      </c>
      <c r="E28" s="671" t="s">
        <v>863</v>
      </c>
      <c r="F28" s="671" t="s">
        <v>864</v>
      </c>
      <c r="G28" s="671" t="s">
        <v>858</v>
      </c>
      <c r="H28" s="671" t="s">
        <v>859</v>
      </c>
      <c r="I28" s="671" t="s">
        <v>863</v>
      </c>
      <c r="J28" s="850">
        <v>42072</v>
      </c>
      <c r="K28" s="850">
        <v>42075</v>
      </c>
      <c r="L28" s="671" t="s">
        <v>861</v>
      </c>
      <c r="M28" s="671">
        <v>497</v>
      </c>
      <c r="N28" s="671">
        <v>1677.375</v>
      </c>
      <c r="O28" s="671">
        <v>2396.25</v>
      </c>
      <c r="P28" s="671">
        <v>4792.5</v>
      </c>
      <c r="Q28" s="671">
        <v>0</v>
      </c>
      <c r="R28" s="671">
        <v>0</v>
      </c>
      <c r="S28" s="671">
        <v>0</v>
      </c>
      <c r="T28" s="671">
        <v>0</v>
      </c>
      <c r="U28" s="671">
        <v>0</v>
      </c>
      <c r="V28" s="671">
        <v>0</v>
      </c>
      <c r="W28" s="671">
        <v>0</v>
      </c>
      <c r="X28" s="671">
        <v>500</v>
      </c>
      <c r="Y28" s="671" t="s">
        <v>41</v>
      </c>
      <c r="Z28" s="673" t="s">
        <v>389</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509</v>
      </c>
      <c r="N57" s="629">
        <f>SUM(N27:N56)</f>
        <v>1731.375</v>
      </c>
      <c r="O57" s="629">
        <f t="shared" ref="O57:W57" si="2">SUM(O27:O56)</f>
        <v>2473.3928571428573</v>
      </c>
      <c r="P57" s="629">
        <f t="shared" si="2"/>
        <v>4946.7857142857147</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497</v>
      </c>
      <c r="N58" s="629">
        <f t="shared" ref="N58:W58" si="3">SUMIF($Z$27:$Z$56,"industrie",N27:N56)</f>
        <v>1677.375</v>
      </c>
      <c r="O58" s="629">
        <f t="shared" si="3"/>
        <v>2396.25</v>
      </c>
      <c r="P58" s="629">
        <f t="shared" si="3"/>
        <v>4792.5</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v>
      </c>
      <c r="N59" s="629">
        <f ca="1">SUMIF($Z$27:AB56,"tertiair",N27:N56)</f>
        <v>54</v>
      </c>
      <c r="O59" s="629">
        <f ca="1">SUMIF($Z$27:AC56,"tertiair",O27:O56)</f>
        <v>77.142857142857139</v>
      </c>
      <c r="P59" s="629">
        <f ca="1">SUMIF($Z$27:AD56,"tertiair",P27:P56)</f>
        <v>154.28571428571431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0.58823529411764719</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2036.9117647058827</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2909.8739495798327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13261.07881185</v>
      </c>
      <c r="D10" s="718">
        <f ca="1">tertiair!C16</f>
        <v>77.142857142857139</v>
      </c>
      <c r="E10" s="718">
        <f ca="1">tertiair!D16</f>
        <v>15617.663078120246</v>
      </c>
      <c r="F10" s="718">
        <f>tertiair!E16</f>
        <v>263.88712363152962</v>
      </c>
      <c r="G10" s="718">
        <f ca="1">tertiair!F16</f>
        <v>3019.4731115374179</v>
      </c>
      <c r="H10" s="718">
        <f>tertiair!G16</f>
        <v>0</v>
      </c>
      <c r="I10" s="718">
        <f>tertiair!H16</f>
        <v>0</v>
      </c>
      <c r="J10" s="718">
        <f>tertiair!I16</f>
        <v>0</v>
      </c>
      <c r="K10" s="718">
        <f>tertiair!J16</f>
        <v>0</v>
      </c>
      <c r="L10" s="718">
        <f>tertiair!K16</f>
        <v>0</v>
      </c>
      <c r="M10" s="718">
        <f ca="1">tertiair!L16</f>
        <v>0</v>
      </c>
      <c r="N10" s="718">
        <f>tertiair!M16</f>
        <v>0</v>
      </c>
      <c r="O10" s="718">
        <f ca="1">tertiair!N16</f>
        <v>1069.3548793958325</v>
      </c>
      <c r="P10" s="718">
        <f>tertiair!O16</f>
        <v>1.5633333333333335</v>
      </c>
      <c r="Q10" s="719">
        <f>tertiair!P16</f>
        <v>0</v>
      </c>
      <c r="R10" s="721">
        <f ca="1">SUM(C10:Q10)</f>
        <v>33310.163195011213</v>
      </c>
      <c r="S10" s="67"/>
    </row>
    <row r="11" spans="1:19" s="474" customFormat="1">
      <c r="A11" s="870" t="s">
        <v>225</v>
      </c>
      <c r="B11" s="875"/>
      <c r="C11" s="718">
        <f>huishoudens!B8</f>
        <v>32493.442708128259</v>
      </c>
      <c r="D11" s="718">
        <f>huishoudens!C8</f>
        <v>0</v>
      </c>
      <c r="E11" s="718">
        <f>huishoudens!D8</f>
        <v>69823.377451740002</v>
      </c>
      <c r="F11" s="718">
        <f>huishoudens!E8</f>
        <v>4094.9975820673835</v>
      </c>
      <c r="G11" s="718">
        <f>huishoudens!F8</f>
        <v>21581.753858964392</v>
      </c>
      <c r="H11" s="718">
        <f>huishoudens!G8</f>
        <v>0</v>
      </c>
      <c r="I11" s="718">
        <f>huishoudens!H8</f>
        <v>0</v>
      </c>
      <c r="J11" s="718">
        <f>huishoudens!I8</f>
        <v>0</v>
      </c>
      <c r="K11" s="718">
        <f>huishoudens!J8</f>
        <v>1002.9283959178777</v>
      </c>
      <c r="L11" s="718">
        <f>huishoudens!K8</f>
        <v>0</v>
      </c>
      <c r="M11" s="718">
        <f>huishoudens!L8</f>
        <v>0</v>
      </c>
      <c r="N11" s="718">
        <f>huishoudens!M8</f>
        <v>0</v>
      </c>
      <c r="O11" s="718">
        <f>huishoudens!N8</f>
        <v>14495.441140413644</v>
      </c>
      <c r="P11" s="718">
        <f>huishoudens!O8</f>
        <v>242.31666666666666</v>
      </c>
      <c r="Q11" s="719">
        <f>huishoudens!P8</f>
        <v>800.8</v>
      </c>
      <c r="R11" s="721">
        <f>SUM(C11:Q11)</f>
        <v>144535.05780389823</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81047.721222408989</v>
      </c>
      <c r="D13" s="718">
        <f>industrie!C18</f>
        <v>2396.25</v>
      </c>
      <c r="E13" s="718">
        <f>industrie!D18</f>
        <v>32332.656080663095</v>
      </c>
      <c r="F13" s="718">
        <f>industrie!E18</f>
        <v>2368.473325301662</v>
      </c>
      <c r="G13" s="718">
        <f>industrie!F18</f>
        <v>18687.883861894818</v>
      </c>
      <c r="H13" s="718">
        <f>industrie!G18</f>
        <v>0</v>
      </c>
      <c r="I13" s="718">
        <f>industrie!H18</f>
        <v>0</v>
      </c>
      <c r="J13" s="718">
        <f>industrie!I18</f>
        <v>0</v>
      </c>
      <c r="K13" s="718">
        <f>industrie!J18</f>
        <v>29.311043080406748</v>
      </c>
      <c r="L13" s="718">
        <f>industrie!K18</f>
        <v>0</v>
      </c>
      <c r="M13" s="718">
        <f>industrie!L18</f>
        <v>0</v>
      </c>
      <c r="N13" s="718">
        <f>industrie!M18</f>
        <v>0</v>
      </c>
      <c r="O13" s="718">
        <f>industrie!N18</f>
        <v>29350.915625825997</v>
      </c>
      <c r="P13" s="718">
        <f>industrie!O18</f>
        <v>0</v>
      </c>
      <c r="Q13" s="719">
        <f>industrie!P18</f>
        <v>0</v>
      </c>
      <c r="R13" s="721">
        <f>SUM(C13:Q13)</f>
        <v>166213.21115917494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126802.24274238726</v>
      </c>
      <c r="D15" s="723">
        <f t="shared" ref="D15:Q15" ca="1" si="0">SUM(D9:D14)</f>
        <v>2473.3928571428573</v>
      </c>
      <c r="E15" s="723">
        <f t="shared" ca="1" si="0"/>
        <v>117773.69661052333</v>
      </c>
      <c r="F15" s="723">
        <f t="shared" si="0"/>
        <v>6727.3580310005755</v>
      </c>
      <c r="G15" s="723">
        <f t="shared" ca="1" si="0"/>
        <v>43289.110832396633</v>
      </c>
      <c r="H15" s="723">
        <f t="shared" si="0"/>
        <v>0</v>
      </c>
      <c r="I15" s="723">
        <f t="shared" si="0"/>
        <v>0</v>
      </c>
      <c r="J15" s="723">
        <f t="shared" si="0"/>
        <v>0</v>
      </c>
      <c r="K15" s="723">
        <f t="shared" si="0"/>
        <v>1032.2394389982844</v>
      </c>
      <c r="L15" s="723">
        <f t="shared" si="0"/>
        <v>0</v>
      </c>
      <c r="M15" s="723">
        <f t="shared" ca="1" si="0"/>
        <v>0</v>
      </c>
      <c r="N15" s="723">
        <f t="shared" si="0"/>
        <v>0</v>
      </c>
      <c r="O15" s="723">
        <f t="shared" ca="1" si="0"/>
        <v>44915.711645635471</v>
      </c>
      <c r="P15" s="723">
        <f t="shared" si="0"/>
        <v>243.88</v>
      </c>
      <c r="Q15" s="724">
        <f t="shared" si="0"/>
        <v>800.8</v>
      </c>
      <c r="R15" s="725">
        <f ca="1">SUM(R9:R14)</f>
        <v>344058.43215808435</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770.04940227925863</v>
      </c>
      <c r="I18" s="718">
        <f>transport!H54</f>
        <v>0</v>
      </c>
      <c r="J18" s="718">
        <f>transport!I54</f>
        <v>0</v>
      </c>
      <c r="K18" s="718">
        <f>transport!J54</f>
        <v>0</v>
      </c>
      <c r="L18" s="718">
        <f>transport!K54</f>
        <v>0</v>
      </c>
      <c r="M18" s="718">
        <f>transport!L54</f>
        <v>0</v>
      </c>
      <c r="N18" s="718">
        <f>transport!M54</f>
        <v>23.885209717972849</v>
      </c>
      <c r="O18" s="718">
        <f>transport!N54</f>
        <v>0</v>
      </c>
      <c r="P18" s="718">
        <f>transport!O54</f>
        <v>0</v>
      </c>
      <c r="Q18" s="719">
        <f>transport!P54</f>
        <v>0</v>
      </c>
      <c r="R18" s="721">
        <f>SUM(C18:Q18)</f>
        <v>793.93461199723151</v>
      </c>
      <c r="S18" s="67"/>
    </row>
    <row r="19" spans="1:19" s="474" customFormat="1" ht="15" thickBot="1">
      <c r="A19" s="870" t="s">
        <v>307</v>
      </c>
      <c r="B19" s="875"/>
      <c r="C19" s="727">
        <f>transport!B14</f>
        <v>23.944002975453134</v>
      </c>
      <c r="D19" s="727">
        <f>transport!C14</f>
        <v>0</v>
      </c>
      <c r="E19" s="727">
        <f>transport!D14</f>
        <v>71.352458921053994</v>
      </c>
      <c r="F19" s="727">
        <f>transport!E14</f>
        <v>264.63629991809461</v>
      </c>
      <c r="G19" s="727">
        <f>transport!F14</f>
        <v>0</v>
      </c>
      <c r="H19" s="727">
        <f>transport!G14</f>
        <v>81124.309557065179</v>
      </c>
      <c r="I19" s="727">
        <f>transport!H14</f>
        <v>18875.125289077299</v>
      </c>
      <c r="J19" s="727">
        <f>transport!I14</f>
        <v>0</v>
      </c>
      <c r="K19" s="727">
        <f>transport!J14</f>
        <v>0</v>
      </c>
      <c r="L19" s="727">
        <f>transport!K14</f>
        <v>0</v>
      </c>
      <c r="M19" s="727">
        <f>transport!L14</f>
        <v>0</v>
      </c>
      <c r="N19" s="727">
        <f>transport!M14</f>
        <v>3121.4427402228521</v>
      </c>
      <c r="O19" s="727">
        <f>transport!N14</f>
        <v>0</v>
      </c>
      <c r="P19" s="727">
        <f>transport!O14</f>
        <v>0</v>
      </c>
      <c r="Q19" s="728">
        <f>transport!P14</f>
        <v>0</v>
      </c>
      <c r="R19" s="729">
        <f>SUM(C19:Q19)</f>
        <v>103480.81034817993</v>
      </c>
      <c r="S19" s="67"/>
    </row>
    <row r="20" spans="1:19" s="474" customFormat="1" ht="15.75" thickBot="1">
      <c r="A20" s="730" t="s">
        <v>230</v>
      </c>
      <c r="B20" s="878"/>
      <c r="C20" s="873">
        <f>SUM(C17:C19)</f>
        <v>23.944002975453134</v>
      </c>
      <c r="D20" s="731">
        <f t="shared" ref="D20:R20" si="1">SUM(D17:D19)</f>
        <v>0</v>
      </c>
      <c r="E20" s="731">
        <f t="shared" si="1"/>
        <v>71.352458921053994</v>
      </c>
      <c r="F20" s="731">
        <f t="shared" si="1"/>
        <v>264.63629991809461</v>
      </c>
      <c r="G20" s="731">
        <f t="shared" si="1"/>
        <v>0</v>
      </c>
      <c r="H20" s="731">
        <f t="shared" si="1"/>
        <v>81894.358959344434</v>
      </c>
      <c r="I20" s="731">
        <f t="shared" si="1"/>
        <v>18875.125289077299</v>
      </c>
      <c r="J20" s="731">
        <f t="shared" si="1"/>
        <v>0</v>
      </c>
      <c r="K20" s="731">
        <f t="shared" si="1"/>
        <v>0</v>
      </c>
      <c r="L20" s="731">
        <f t="shared" si="1"/>
        <v>0</v>
      </c>
      <c r="M20" s="731">
        <f t="shared" si="1"/>
        <v>0</v>
      </c>
      <c r="N20" s="731">
        <f t="shared" si="1"/>
        <v>3145.327949940825</v>
      </c>
      <c r="O20" s="731">
        <f t="shared" si="1"/>
        <v>0</v>
      </c>
      <c r="P20" s="731">
        <f t="shared" si="1"/>
        <v>0</v>
      </c>
      <c r="Q20" s="732">
        <f t="shared" si="1"/>
        <v>0</v>
      </c>
      <c r="R20" s="733">
        <f t="shared" si="1"/>
        <v>104274.74496017717</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1254.1433374399999</v>
      </c>
      <c r="D22" s="727">
        <f>+landbouw!C8</f>
        <v>0</v>
      </c>
      <c r="E22" s="727">
        <f>+landbouw!D8</f>
        <v>1957.0768651675776</v>
      </c>
      <c r="F22" s="727">
        <f>+landbouw!E8</f>
        <v>32.339541318887775</v>
      </c>
      <c r="G22" s="727">
        <f>+landbouw!F8</f>
        <v>4584.132738339651</v>
      </c>
      <c r="H22" s="727">
        <f>+landbouw!G8</f>
        <v>0</v>
      </c>
      <c r="I22" s="727">
        <f>+landbouw!H8</f>
        <v>0</v>
      </c>
      <c r="J22" s="727">
        <f>+landbouw!I8</f>
        <v>0</v>
      </c>
      <c r="K22" s="727">
        <f>+landbouw!J8</f>
        <v>180.55050485048386</v>
      </c>
      <c r="L22" s="727">
        <f>+landbouw!K8</f>
        <v>0</v>
      </c>
      <c r="M22" s="727">
        <f>+landbouw!L8</f>
        <v>0</v>
      </c>
      <c r="N22" s="727">
        <f>+landbouw!M8</f>
        <v>0</v>
      </c>
      <c r="O22" s="727">
        <f>+landbouw!N8</f>
        <v>0</v>
      </c>
      <c r="P22" s="727">
        <f>+landbouw!O8</f>
        <v>0</v>
      </c>
      <c r="Q22" s="728">
        <f>+landbouw!P8</f>
        <v>0</v>
      </c>
      <c r="R22" s="729">
        <f>SUM(C22:Q22)</f>
        <v>8008.2429871166005</v>
      </c>
      <c r="S22" s="67"/>
    </row>
    <row r="23" spans="1:19" s="474" customFormat="1" ht="17.25" thickTop="1" thickBot="1">
      <c r="A23" s="734" t="s">
        <v>116</v>
      </c>
      <c r="B23" s="864"/>
      <c r="C23" s="735">
        <f ca="1">C20+C15+C22</f>
        <v>128080.3300828027</v>
      </c>
      <c r="D23" s="735">
        <f t="shared" ref="D23:Q23" ca="1" si="2">D20+D15+D22</f>
        <v>2473.3928571428573</v>
      </c>
      <c r="E23" s="735">
        <f t="shared" ca="1" si="2"/>
        <v>119802.12593461196</v>
      </c>
      <c r="F23" s="735">
        <f t="shared" si="2"/>
        <v>7024.3338722375584</v>
      </c>
      <c r="G23" s="735">
        <f t="shared" ca="1" si="2"/>
        <v>47873.243570736282</v>
      </c>
      <c r="H23" s="735">
        <f t="shared" si="2"/>
        <v>81894.358959344434</v>
      </c>
      <c r="I23" s="735">
        <f t="shared" si="2"/>
        <v>18875.125289077299</v>
      </c>
      <c r="J23" s="735">
        <f t="shared" si="2"/>
        <v>0</v>
      </c>
      <c r="K23" s="735">
        <f t="shared" si="2"/>
        <v>1212.7899438487682</v>
      </c>
      <c r="L23" s="735">
        <f t="shared" si="2"/>
        <v>0</v>
      </c>
      <c r="M23" s="735">
        <f t="shared" ca="1" si="2"/>
        <v>0</v>
      </c>
      <c r="N23" s="735">
        <f t="shared" si="2"/>
        <v>3145.327949940825</v>
      </c>
      <c r="O23" s="735">
        <f t="shared" ca="1" si="2"/>
        <v>44915.711645635471</v>
      </c>
      <c r="P23" s="735">
        <f t="shared" si="2"/>
        <v>243.88</v>
      </c>
      <c r="Q23" s="736">
        <f t="shared" si="2"/>
        <v>800.8</v>
      </c>
      <c r="R23" s="737">
        <f ca="1">R20+R15+R22</f>
        <v>456341.42010537814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2832.0237498456286</v>
      </c>
      <c r="D36" s="718">
        <f ca="1">tertiair!C20</f>
        <v>18.3327731092437</v>
      </c>
      <c r="E36" s="718">
        <f ca="1">tertiair!D20</f>
        <v>3154.7679417802897</v>
      </c>
      <c r="F36" s="718">
        <f>tertiair!E20</f>
        <v>59.902377064357225</v>
      </c>
      <c r="G36" s="718">
        <f ca="1">tertiair!F20</f>
        <v>806.19932078049067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6871.2261625800093</v>
      </c>
    </row>
    <row r="37" spans="1:18">
      <c r="A37" s="885" t="s">
        <v>225</v>
      </c>
      <c r="B37" s="892"/>
      <c r="C37" s="718">
        <f ca="1">huishoudens!B12</f>
        <v>6939.2696302684772</v>
      </c>
      <c r="D37" s="718">
        <f ca="1">huishoudens!C12</f>
        <v>0</v>
      </c>
      <c r="E37" s="718">
        <f>huishoudens!D12</f>
        <v>14104.322245251482</v>
      </c>
      <c r="F37" s="718">
        <f>huishoudens!E12</f>
        <v>929.56445112929612</v>
      </c>
      <c r="G37" s="718">
        <f>huishoudens!F12</f>
        <v>5762.3282803434931</v>
      </c>
      <c r="H37" s="718">
        <f>huishoudens!G12</f>
        <v>0</v>
      </c>
      <c r="I37" s="718">
        <f>huishoudens!H12</f>
        <v>0</v>
      </c>
      <c r="J37" s="718">
        <f>huishoudens!I12</f>
        <v>0</v>
      </c>
      <c r="K37" s="718">
        <f>huishoudens!J12</f>
        <v>355.03665215492867</v>
      </c>
      <c r="L37" s="718">
        <f>huishoudens!K12</f>
        <v>0</v>
      </c>
      <c r="M37" s="718">
        <f>huishoudens!L12</f>
        <v>0</v>
      </c>
      <c r="N37" s="718">
        <f>huishoudens!M12</f>
        <v>0</v>
      </c>
      <c r="O37" s="718">
        <f>huishoudens!N12</f>
        <v>0</v>
      </c>
      <c r="P37" s="718">
        <f>huishoudens!O12</f>
        <v>0</v>
      </c>
      <c r="Q37" s="828">
        <f>huishoudens!P12</f>
        <v>0</v>
      </c>
      <c r="R37" s="917">
        <f ca="1">SUM(C37:Q37)</f>
        <v>28090.521259147677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17308.476529648884</v>
      </c>
      <c r="D39" s="718">
        <f ca="1">industrie!C22</f>
        <v>569.4617647058825</v>
      </c>
      <c r="E39" s="718">
        <f>industrie!D22</f>
        <v>6531.1965282939454</v>
      </c>
      <c r="F39" s="718">
        <f>industrie!E22</f>
        <v>537.64344484347725</v>
      </c>
      <c r="G39" s="718">
        <f>industrie!F22</f>
        <v>4989.6649911259165</v>
      </c>
      <c r="H39" s="718">
        <f>industrie!G22</f>
        <v>0</v>
      </c>
      <c r="I39" s="718">
        <f>industrie!H22</f>
        <v>0</v>
      </c>
      <c r="J39" s="718">
        <f>industrie!I22</f>
        <v>0</v>
      </c>
      <c r="K39" s="718">
        <f>industrie!J22</f>
        <v>10.376109250463989</v>
      </c>
      <c r="L39" s="718">
        <f>industrie!K22</f>
        <v>0</v>
      </c>
      <c r="M39" s="718">
        <f>industrie!L22</f>
        <v>0</v>
      </c>
      <c r="N39" s="718">
        <f>industrie!M22</f>
        <v>0</v>
      </c>
      <c r="O39" s="718">
        <f>industrie!N22</f>
        <v>0</v>
      </c>
      <c r="P39" s="718">
        <f>industrie!O22</f>
        <v>0</v>
      </c>
      <c r="Q39" s="828">
        <f>industrie!P22</f>
        <v>0</v>
      </c>
      <c r="R39" s="918">
        <f ca="1">SUM(C39:Q39)</f>
        <v>29946.819367868571</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27079.769909762988</v>
      </c>
      <c r="D41" s="763">
        <f t="shared" ref="D41:R41" ca="1" si="4">SUM(D35:D40)</f>
        <v>587.7945378151262</v>
      </c>
      <c r="E41" s="763">
        <f t="shared" ca="1" si="4"/>
        <v>23790.286715325718</v>
      </c>
      <c r="F41" s="763">
        <f t="shared" si="4"/>
        <v>1527.1102730371306</v>
      </c>
      <c r="G41" s="763">
        <f t="shared" ca="1" si="4"/>
        <v>11558.192592249899</v>
      </c>
      <c r="H41" s="763">
        <f t="shared" si="4"/>
        <v>0</v>
      </c>
      <c r="I41" s="763">
        <f t="shared" si="4"/>
        <v>0</v>
      </c>
      <c r="J41" s="763">
        <f t="shared" si="4"/>
        <v>0</v>
      </c>
      <c r="K41" s="763">
        <f t="shared" si="4"/>
        <v>365.41276140539264</v>
      </c>
      <c r="L41" s="763">
        <f t="shared" si="4"/>
        <v>0</v>
      </c>
      <c r="M41" s="763">
        <f t="shared" ca="1" si="4"/>
        <v>0</v>
      </c>
      <c r="N41" s="763">
        <f t="shared" si="4"/>
        <v>0</v>
      </c>
      <c r="O41" s="763">
        <f t="shared" ca="1" si="4"/>
        <v>0</v>
      </c>
      <c r="P41" s="763">
        <f t="shared" si="4"/>
        <v>0</v>
      </c>
      <c r="Q41" s="764">
        <f t="shared" si="4"/>
        <v>0</v>
      </c>
      <c r="R41" s="765">
        <f t="shared" ca="1" si="4"/>
        <v>64908.566789596262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205.60319040856206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205.60319040856206</v>
      </c>
    </row>
    <row r="45" spans="1:18" ht="15" thickBot="1">
      <c r="A45" s="888" t="s">
        <v>307</v>
      </c>
      <c r="B45" s="898"/>
      <c r="C45" s="727">
        <f ca="1">transport!B18</f>
        <v>5.1134591728889491</v>
      </c>
      <c r="D45" s="727">
        <f>transport!C18</f>
        <v>0</v>
      </c>
      <c r="E45" s="727">
        <f>transport!D18</f>
        <v>14.413196702052907</v>
      </c>
      <c r="F45" s="727">
        <f>transport!E18</f>
        <v>60.072440081407478</v>
      </c>
      <c r="G45" s="727">
        <f>transport!F18</f>
        <v>0</v>
      </c>
      <c r="H45" s="727">
        <f>transport!G18</f>
        <v>21660.190651736404</v>
      </c>
      <c r="I45" s="727">
        <f>transport!H18</f>
        <v>4699.9061969802478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26439.695944673003</v>
      </c>
    </row>
    <row r="46" spans="1:18" ht="15.75" thickBot="1">
      <c r="A46" s="886" t="s">
        <v>230</v>
      </c>
      <c r="B46" s="899"/>
      <c r="C46" s="763">
        <f t="shared" ref="C46:R46" ca="1" si="5">SUM(C43:C45)</f>
        <v>5.1134591728889491</v>
      </c>
      <c r="D46" s="763">
        <f t="shared" ca="1" si="5"/>
        <v>0</v>
      </c>
      <c r="E46" s="763">
        <f t="shared" si="5"/>
        <v>14.413196702052907</v>
      </c>
      <c r="F46" s="763">
        <f t="shared" si="5"/>
        <v>60.072440081407478</v>
      </c>
      <c r="G46" s="763">
        <f t="shared" si="5"/>
        <v>0</v>
      </c>
      <c r="H46" s="763">
        <f t="shared" si="5"/>
        <v>21865.793842144965</v>
      </c>
      <c r="I46" s="763">
        <f t="shared" si="5"/>
        <v>4699.9061969802478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26645.299135081565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267.83369345236912</v>
      </c>
      <c r="D48" s="718">
        <f ca="1">+landbouw!C12</f>
        <v>0</v>
      </c>
      <c r="E48" s="718">
        <f>+landbouw!D12</f>
        <v>395.32952676385071</v>
      </c>
      <c r="F48" s="718">
        <f>+landbouw!E12</f>
        <v>7.3410758793875255</v>
      </c>
      <c r="G48" s="718">
        <f>+landbouw!F12</f>
        <v>1223.9634411366869</v>
      </c>
      <c r="H48" s="718">
        <f>+landbouw!G12</f>
        <v>0</v>
      </c>
      <c r="I48" s="718">
        <f>+landbouw!H12</f>
        <v>0</v>
      </c>
      <c r="J48" s="718">
        <f>+landbouw!I12</f>
        <v>0</v>
      </c>
      <c r="K48" s="718">
        <f>+landbouw!J12</f>
        <v>63.914878717071282</v>
      </c>
      <c r="L48" s="718">
        <f>+landbouw!K12</f>
        <v>0</v>
      </c>
      <c r="M48" s="718">
        <f>+landbouw!L12</f>
        <v>0</v>
      </c>
      <c r="N48" s="718">
        <f>+landbouw!M12</f>
        <v>0</v>
      </c>
      <c r="O48" s="718">
        <f>+landbouw!N12</f>
        <v>0</v>
      </c>
      <c r="P48" s="718">
        <f>+landbouw!O12</f>
        <v>0</v>
      </c>
      <c r="Q48" s="719">
        <f>+landbouw!P12</f>
        <v>0</v>
      </c>
      <c r="R48" s="761">
        <f ca="1">SUM(C48:Q48)</f>
        <v>1958.3826159493656</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27352.717062388245</v>
      </c>
      <c r="D53" s="773">
        <f t="shared" ref="D53:Q53" ca="1" si="6">D41+D46+D48</f>
        <v>587.7945378151262</v>
      </c>
      <c r="E53" s="773">
        <f t="shared" ca="1" si="6"/>
        <v>24200.029438791618</v>
      </c>
      <c r="F53" s="773">
        <f t="shared" si="6"/>
        <v>1594.5237889979255</v>
      </c>
      <c r="G53" s="773">
        <f t="shared" ca="1" si="6"/>
        <v>12782.156033386585</v>
      </c>
      <c r="H53" s="773">
        <f t="shared" si="6"/>
        <v>21865.793842144965</v>
      </c>
      <c r="I53" s="773">
        <f t="shared" si="6"/>
        <v>4699.9061969802478</v>
      </c>
      <c r="J53" s="773">
        <f t="shared" si="6"/>
        <v>0</v>
      </c>
      <c r="K53" s="773">
        <f t="shared" si="6"/>
        <v>429.32764012246395</v>
      </c>
      <c r="L53" s="773">
        <f t="shared" si="6"/>
        <v>0</v>
      </c>
      <c r="M53" s="773">
        <f t="shared" ca="1" si="6"/>
        <v>0</v>
      </c>
      <c r="N53" s="773">
        <f t="shared" si="6"/>
        <v>0</v>
      </c>
      <c r="O53" s="773">
        <f t="shared" ca="1" si="6"/>
        <v>0</v>
      </c>
      <c r="P53" s="773">
        <f>P41+P46+P48</f>
        <v>0</v>
      </c>
      <c r="Q53" s="774">
        <f t="shared" si="6"/>
        <v>0</v>
      </c>
      <c r="R53" s="775">
        <f ca="1">R41+R46+R48</f>
        <v>93512.248540627188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0.21355907690669579</v>
      </c>
      <c r="D55" s="836">
        <f t="shared" ca="1" si="7"/>
        <v>0.23764705882352946</v>
      </c>
      <c r="E55" s="836">
        <f t="shared" ca="1" si="7"/>
        <v>0.20200000000000001</v>
      </c>
      <c r="F55" s="836">
        <f t="shared" si="7"/>
        <v>0.22699999999999998</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4442.7972279716487</v>
      </c>
      <c r="C66" s="795">
        <f>'lokale energieproductie'!B6</f>
        <v>4442.7972279716487</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1731.375</v>
      </c>
      <c r="C67" s="794">
        <f>B67*IFERROR(SUM(J67:L67)/SUM(D67:M67),0)</f>
        <v>0</v>
      </c>
      <c r="D67" s="826">
        <f>'lokale energieproductie'!C7</f>
        <v>2036.9117647058827</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411.45617647058833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6174.1722279716487</v>
      </c>
      <c r="C69" s="803">
        <f>SUM(C64:C68)</f>
        <v>4442.7972279716487</v>
      </c>
      <c r="D69" s="804">
        <f t="shared" ref="D69:M69" si="8">SUM(D67:D68)</f>
        <v>2036.9117647058827</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411.45617647058833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2473.3928571428573</v>
      </c>
      <c r="C78" s="817">
        <f>B78*IFERROR(SUM(I78:L78)/SUM(D78:M78),0)</f>
        <v>0</v>
      </c>
      <c r="D78" s="832">
        <f>'lokale energieproductie'!C16</f>
        <v>2909.8739495798327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587.7945378151262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2473.3928571428573</v>
      </c>
      <c r="C81" s="803">
        <f>SUM(C78:C80)</f>
        <v>0</v>
      </c>
      <c r="D81" s="803">
        <f t="shared" ref="D81:P81" si="9">SUM(D78:D80)</f>
        <v>2909.8739495798327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587.7945378151262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32493.442708128259</v>
      </c>
      <c r="C4" s="478">
        <f>huishoudens!C8</f>
        <v>0</v>
      </c>
      <c r="D4" s="478">
        <f>huishoudens!D8</f>
        <v>69823.377451740002</v>
      </c>
      <c r="E4" s="478">
        <f>huishoudens!E8</f>
        <v>4094.9975820673835</v>
      </c>
      <c r="F4" s="478">
        <f>huishoudens!F8</f>
        <v>21581.753858964392</v>
      </c>
      <c r="G4" s="478">
        <f>huishoudens!G8</f>
        <v>0</v>
      </c>
      <c r="H4" s="478">
        <f>huishoudens!H8</f>
        <v>0</v>
      </c>
      <c r="I4" s="478">
        <f>huishoudens!I8</f>
        <v>0</v>
      </c>
      <c r="J4" s="478">
        <f>huishoudens!J8</f>
        <v>1002.9283959178777</v>
      </c>
      <c r="K4" s="478">
        <f>huishoudens!K8</f>
        <v>0</v>
      </c>
      <c r="L4" s="478">
        <f>huishoudens!L8</f>
        <v>0</v>
      </c>
      <c r="M4" s="478">
        <f>huishoudens!M8</f>
        <v>0</v>
      </c>
      <c r="N4" s="478">
        <f>huishoudens!N8</f>
        <v>14495.441140413644</v>
      </c>
      <c r="O4" s="478">
        <f>huishoudens!O8</f>
        <v>242.31666666666666</v>
      </c>
      <c r="P4" s="479">
        <f>huishoudens!P8</f>
        <v>800.8</v>
      </c>
      <c r="Q4" s="480">
        <f>SUM(B4:P4)</f>
        <v>144535.05780389823</v>
      </c>
    </row>
    <row r="5" spans="1:17">
      <c r="A5" s="477" t="s">
        <v>156</v>
      </c>
      <c r="B5" s="478">
        <f ca="1">tertiair!B16</f>
        <v>12200.73881185</v>
      </c>
      <c r="C5" s="478">
        <f ca="1">tertiair!C16</f>
        <v>77.142857142857139</v>
      </c>
      <c r="D5" s="478">
        <f ca="1">tertiair!D16</f>
        <v>15617.663078120246</v>
      </c>
      <c r="E5" s="478">
        <f>tertiair!E16</f>
        <v>263.88712363152962</v>
      </c>
      <c r="F5" s="478">
        <f ca="1">tertiair!F16</f>
        <v>3019.4731115374179</v>
      </c>
      <c r="G5" s="478">
        <f>tertiair!G16</f>
        <v>0</v>
      </c>
      <c r="H5" s="478">
        <f>tertiair!H16</f>
        <v>0</v>
      </c>
      <c r="I5" s="478">
        <f>tertiair!I16</f>
        <v>0</v>
      </c>
      <c r="J5" s="478">
        <f>tertiair!J16</f>
        <v>0</v>
      </c>
      <c r="K5" s="478">
        <f>tertiair!K16</f>
        <v>0</v>
      </c>
      <c r="L5" s="478">
        <f ca="1">tertiair!L16</f>
        <v>0</v>
      </c>
      <c r="M5" s="478">
        <f>tertiair!M16</f>
        <v>0</v>
      </c>
      <c r="N5" s="478">
        <f ca="1">tertiair!N16</f>
        <v>1069.3548793958325</v>
      </c>
      <c r="O5" s="478">
        <f>tertiair!O16</f>
        <v>1.5633333333333335</v>
      </c>
      <c r="P5" s="479">
        <f>tertiair!P16</f>
        <v>0</v>
      </c>
      <c r="Q5" s="477">
        <f t="shared" ref="Q5:Q13" ca="1" si="0">SUM(B5:P5)</f>
        <v>32249.823195011217</v>
      </c>
    </row>
    <row r="6" spans="1:17">
      <c r="A6" s="477" t="s">
        <v>194</v>
      </c>
      <c r="B6" s="478">
        <f>'openbare verlichting'!B8</f>
        <v>1060.3399999999999</v>
      </c>
      <c r="C6" s="478"/>
      <c r="D6" s="478"/>
      <c r="E6" s="478"/>
      <c r="F6" s="478"/>
      <c r="G6" s="478"/>
      <c r="H6" s="478"/>
      <c r="I6" s="478"/>
      <c r="J6" s="478"/>
      <c r="K6" s="478"/>
      <c r="L6" s="478"/>
      <c r="M6" s="478"/>
      <c r="N6" s="478"/>
      <c r="O6" s="478"/>
      <c r="P6" s="479"/>
      <c r="Q6" s="477">
        <f t="shared" si="0"/>
        <v>1060.3399999999999</v>
      </c>
    </row>
    <row r="7" spans="1:17">
      <c r="A7" s="477" t="s">
        <v>112</v>
      </c>
      <c r="B7" s="478">
        <f>landbouw!B8</f>
        <v>1254.1433374399999</v>
      </c>
      <c r="C7" s="478">
        <f>landbouw!C8</f>
        <v>0</v>
      </c>
      <c r="D7" s="478">
        <f>landbouw!D8</f>
        <v>1957.0768651675776</v>
      </c>
      <c r="E7" s="478">
        <f>landbouw!E8</f>
        <v>32.339541318887775</v>
      </c>
      <c r="F7" s="478">
        <f>landbouw!F8</f>
        <v>4584.132738339651</v>
      </c>
      <c r="G7" s="478">
        <f>landbouw!G8</f>
        <v>0</v>
      </c>
      <c r="H7" s="478">
        <f>landbouw!H8</f>
        <v>0</v>
      </c>
      <c r="I7" s="478">
        <f>landbouw!I8</f>
        <v>0</v>
      </c>
      <c r="J7" s="478">
        <f>landbouw!J8</f>
        <v>180.55050485048386</v>
      </c>
      <c r="K7" s="478">
        <f>landbouw!K8</f>
        <v>0</v>
      </c>
      <c r="L7" s="478">
        <f>landbouw!L8</f>
        <v>0</v>
      </c>
      <c r="M7" s="478">
        <f>landbouw!M8</f>
        <v>0</v>
      </c>
      <c r="N7" s="478">
        <f>landbouw!N8</f>
        <v>0</v>
      </c>
      <c r="O7" s="478">
        <f>landbouw!O8</f>
        <v>0</v>
      </c>
      <c r="P7" s="479">
        <f>landbouw!P8</f>
        <v>0</v>
      </c>
      <c r="Q7" s="477">
        <f t="shared" si="0"/>
        <v>8008.2429871166005</v>
      </c>
    </row>
    <row r="8" spans="1:17">
      <c r="A8" s="477" t="s">
        <v>638</v>
      </c>
      <c r="B8" s="478">
        <f>industrie!B18</f>
        <v>81047.721222408989</v>
      </c>
      <c r="C8" s="478">
        <f>industrie!C18</f>
        <v>2396.25</v>
      </c>
      <c r="D8" s="478">
        <f>industrie!D18</f>
        <v>32332.656080663095</v>
      </c>
      <c r="E8" s="478">
        <f>industrie!E18</f>
        <v>2368.473325301662</v>
      </c>
      <c r="F8" s="478">
        <f>industrie!F18</f>
        <v>18687.883861894818</v>
      </c>
      <c r="G8" s="478">
        <f>industrie!G18</f>
        <v>0</v>
      </c>
      <c r="H8" s="478">
        <f>industrie!H18</f>
        <v>0</v>
      </c>
      <c r="I8" s="478">
        <f>industrie!I18</f>
        <v>0</v>
      </c>
      <c r="J8" s="478">
        <f>industrie!J18</f>
        <v>29.311043080406748</v>
      </c>
      <c r="K8" s="478">
        <f>industrie!K18</f>
        <v>0</v>
      </c>
      <c r="L8" s="478">
        <f>industrie!L18</f>
        <v>0</v>
      </c>
      <c r="M8" s="478">
        <f>industrie!M18</f>
        <v>0</v>
      </c>
      <c r="N8" s="478">
        <f>industrie!N18</f>
        <v>29350.915625825997</v>
      </c>
      <c r="O8" s="478">
        <f>industrie!O18</f>
        <v>0</v>
      </c>
      <c r="P8" s="479">
        <f>industrie!P18</f>
        <v>0</v>
      </c>
      <c r="Q8" s="477">
        <f t="shared" si="0"/>
        <v>166213.21115917494</v>
      </c>
    </row>
    <row r="9" spans="1:17" s="483" customFormat="1">
      <c r="A9" s="481" t="s">
        <v>564</v>
      </c>
      <c r="B9" s="482">
        <f>transport!B14</f>
        <v>23.944002975453134</v>
      </c>
      <c r="C9" s="482"/>
      <c r="D9" s="482">
        <f>transport!D14</f>
        <v>71.352458921053994</v>
      </c>
      <c r="E9" s="482">
        <f>transport!E14</f>
        <v>264.63629991809461</v>
      </c>
      <c r="F9" s="482"/>
      <c r="G9" s="482">
        <f>transport!G14</f>
        <v>81124.309557065179</v>
      </c>
      <c r="H9" s="482">
        <f>transport!H14</f>
        <v>18875.125289077299</v>
      </c>
      <c r="I9" s="482"/>
      <c r="J9" s="482"/>
      <c r="K9" s="482"/>
      <c r="L9" s="482"/>
      <c r="M9" s="482">
        <f>transport!M14</f>
        <v>3121.4427402228521</v>
      </c>
      <c r="N9" s="482"/>
      <c r="O9" s="482"/>
      <c r="P9" s="482"/>
      <c r="Q9" s="481">
        <f>SUM(B9:P9)</f>
        <v>103480.81034817993</v>
      </c>
    </row>
    <row r="10" spans="1:17">
      <c r="A10" s="477" t="s">
        <v>554</v>
      </c>
      <c r="B10" s="478">
        <f>transport!B54</f>
        <v>0</v>
      </c>
      <c r="C10" s="478"/>
      <c r="D10" s="478">
        <f>transport!D54</f>
        <v>0</v>
      </c>
      <c r="E10" s="478"/>
      <c r="F10" s="478"/>
      <c r="G10" s="478">
        <f>transport!G54</f>
        <v>770.04940227925863</v>
      </c>
      <c r="H10" s="478"/>
      <c r="I10" s="478"/>
      <c r="J10" s="478"/>
      <c r="K10" s="478"/>
      <c r="L10" s="478"/>
      <c r="M10" s="478">
        <f>transport!M54</f>
        <v>23.885209717972849</v>
      </c>
      <c r="N10" s="478"/>
      <c r="O10" s="478"/>
      <c r="P10" s="479"/>
      <c r="Q10" s="477">
        <f t="shared" si="0"/>
        <v>793.93461199723151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128080.33008280268</v>
      </c>
      <c r="C14" s="488">
        <f t="shared" ref="C14:Q14" ca="1" si="1">SUM(C4:C13)</f>
        <v>2473.3928571428573</v>
      </c>
      <c r="D14" s="488">
        <f t="shared" ca="1" si="1"/>
        <v>119802.12593461198</v>
      </c>
      <c r="E14" s="488">
        <f t="shared" si="1"/>
        <v>7024.3338722375584</v>
      </c>
      <c r="F14" s="488">
        <f t="shared" ca="1" si="1"/>
        <v>47873.243570736275</v>
      </c>
      <c r="G14" s="488">
        <f t="shared" si="1"/>
        <v>81894.358959344434</v>
      </c>
      <c r="H14" s="488">
        <f t="shared" si="1"/>
        <v>18875.125289077299</v>
      </c>
      <c r="I14" s="488">
        <f t="shared" si="1"/>
        <v>0</v>
      </c>
      <c r="J14" s="488">
        <f t="shared" si="1"/>
        <v>1212.7899438487682</v>
      </c>
      <c r="K14" s="488">
        <f t="shared" si="1"/>
        <v>0</v>
      </c>
      <c r="L14" s="488">
        <f t="shared" ca="1" si="1"/>
        <v>0</v>
      </c>
      <c r="M14" s="488">
        <f t="shared" si="1"/>
        <v>3145.327949940825</v>
      </c>
      <c r="N14" s="488">
        <f t="shared" ca="1" si="1"/>
        <v>44915.711645635471</v>
      </c>
      <c r="O14" s="488">
        <f t="shared" si="1"/>
        <v>243.88</v>
      </c>
      <c r="P14" s="489">
        <f t="shared" si="1"/>
        <v>800.8</v>
      </c>
      <c r="Q14" s="489">
        <f t="shared" ca="1" si="1"/>
        <v>456341.42010537814</v>
      </c>
    </row>
    <row r="16" spans="1:17">
      <c r="A16" s="491" t="s">
        <v>559</v>
      </c>
      <c r="B16" s="841">
        <f ca="1">huishoudens!B10</f>
        <v>0.21355907690669582</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6939.2696302684772</v>
      </c>
      <c r="C21" s="478">
        <f t="shared" ref="C21:C28" ca="1" si="3">C4*$C$16</f>
        <v>0</v>
      </c>
      <c r="D21" s="478">
        <f t="shared" ref="D21:D30" si="4">D4*$D$16</f>
        <v>14104.322245251482</v>
      </c>
      <c r="E21" s="478">
        <f t="shared" ref="E21:E30" si="5">E4*$E$16</f>
        <v>929.56445112929612</v>
      </c>
      <c r="F21" s="478">
        <f t="shared" ref="F21:F28" si="6">F4*$F$16</f>
        <v>5762.3282803434931</v>
      </c>
      <c r="G21" s="478">
        <f t="shared" ref="G21:G30" si="7">G4*$G$16</f>
        <v>0</v>
      </c>
      <c r="H21" s="478">
        <f t="shared" ref="H21:H30" si="8">H4*$H$16</f>
        <v>0</v>
      </c>
      <c r="I21" s="478">
        <f t="shared" ref="I21:I28" si="9">I4*$I$16</f>
        <v>0</v>
      </c>
      <c r="J21" s="478">
        <f t="shared" ref="J21:J28" si="10">J4*$J$16</f>
        <v>355.03665215492867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28090.521259147677</v>
      </c>
    </row>
    <row r="22" spans="1:17">
      <c r="A22" s="477" t="s">
        <v>156</v>
      </c>
      <c r="B22" s="478">
        <f t="shared" ca="1" si="2"/>
        <v>2605.5785182383829</v>
      </c>
      <c r="C22" s="478">
        <f t="shared" ca="1" si="3"/>
        <v>18.3327731092437</v>
      </c>
      <c r="D22" s="478">
        <f t="shared" ca="1" si="4"/>
        <v>3154.7679417802897</v>
      </c>
      <c r="E22" s="478">
        <f t="shared" si="5"/>
        <v>59.902377064357225</v>
      </c>
      <c r="F22" s="478">
        <f t="shared" ca="1" si="6"/>
        <v>806.19932078049067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6644.7809309727636</v>
      </c>
    </row>
    <row r="23" spans="1:17">
      <c r="A23" s="477" t="s">
        <v>194</v>
      </c>
      <c r="B23" s="478">
        <f t="shared" ca="1" si="2"/>
        <v>226.44523160724583</v>
      </c>
      <c r="C23" s="478"/>
      <c r="D23" s="478"/>
      <c r="E23" s="478"/>
      <c r="F23" s="478"/>
      <c r="G23" s="478"/>
      <c r="H23" s="478"/>
      <c r="I23" s="478"/>
      <c r="J23" s="478"/>
      <c r="K23" s="478"/>
      <c r="L23" s="478"/>
      <c r="M23" s="478"/>
      <c r="N23" s="478"/>
      <c r="O23" s="478"/>
      <c r="P23" s="479"/>
      <c r="Q23" s="477">
        <f t="shared" ca="1" si="17"/>
        <v>226.44523160724583</v>
      </c>
    </row>
    <row r="24" spans="1:17">
      <c r="A24" s="477" t="s">
        <v>112</v>
      </c>
      <c r="B24" s="478">
        <f t="shared" ca="1" si="2"/>
        <v>267.83369345236912</v>
      </c>
      <c r="C24" s="478">
        <f t="shared" ca="1" si="3"/>
        <v>0</v>
      </c>
      <c r="D24" s="478">
        <f t="shared" si="4"/>
        <v>395.32952676385071</v>
      </c>
      <c r="E24" s="478">
        <f t="shared" si="5"/>
        <v>7.3410758793875255</v>
      </c>
      <c r="F24" s="478">
        <f t="shared" si="6"/>
        <v>1223.9634411366869</v>
      </c>
      <c r="G24" s="478">
        <f t="shared" si="7"/>
        <v>0</v>
      </c>
      <c r="H24" s="478">
        <f t="shared" si="8"/>
        <v>0</v>
      </c>
      <c r="I24" s="478">
        <f t="shared" si="9"/>
        <v>0</v>
      </c>
      <c r="J24" s="478">
        <f t="shared" si="10"/>
        <v>63.914878717071282</v>
      </c>
      <c r="K24" s="478">
        <f t="shared" si="11"/>
        <v>0</v>
      </c>
      <c r="L24" s="478">
        <f t="shared" si="12"/>
        <v>0</v>
      </c>
      <c r="M24" s="478">
        <f t="shared" si="13"/>
        <v>0</v>
      </c>
      <c r="N24" s="478">
        <f t="shared" si="14"/>
        <v>0</v>
      </c>
      <c r="O24" s="478">
        <f t="shared" si="15"/>
        <v>0</v>
      </c>
      <c r="P24" s="479">
        <f t="shared" si="16"/>
        <v>0</v>
      </c>
      <c r="Q24" s="477">
        <f t="shared" ca="1" si="17"/>
        <v>1958.3826159493656</v>
      </c>
    </row>
    <row r="25" spans="1:17">
      <c r="A25" s="477" t="s">
        <v>638</v>
      </c>
      <c r="B25" s="478">
        <f t="shared" ca="1" si="2"/>
        <v>17308.476529648884</v>
      </c>
      <c r="C25" s="478">
        <f t="shared" ca="1" si="3"/>
        <v>569.4617647058825</v>
      </c>
      <c r="D25" s="478">
        <f t="shared" si="4"/>
        <v>6531.1965282939454</v>
      </c>
      <c r="E25" s="478">
        <f t="shared" si="5"/>
        <v>537.64344484347725</v>
      </c>
      <c r="F25" s="478">
        <f t="shared" si="6"/>
        <v>4989.6649911259165</v>
      </c>
      <c r="G25" s="478">
        <f t="shared" si="7"/>
        <v>0</v>
      </c>
      <c r="H25" s="478">
        <f t="shared" si="8"/>
        <v>0</v>
      </c>
      <c r="I25" s="478">
        <f t="shared" si="9"/>
        <v>0</v>
      </c>
      <c r="J25" s="478">
        <f t="shared" si="10"/>
        <v>10.376109250463989</v>
      </c>
      <c r="K25" s="478">
        <f t="shared" si="11"/>
        <v>0</v>
      </c>
      <c r="L25" s="478">
        <f t="shared" si="12"/>
        <v>0</v>
      </c>
      <c r="M25" s="478">
        <f t="shared" si="13"/>
        <v>0</v>
      </c>
      <c r="N25" s="478">
        <f t="shared" si="14"/>
        <v>0</v>
      </c>
      <c r="O25" s="478">
        <f t="shared" si="15"/>
        <v>0</v>
      </c>
      <c r="P25" s="479">
        <f t="shared" si="16"/>
        <v>0</v>
      </c>
      <c r="Q25" s="477">
        <f t="shared" ca="1" si="17"/>
        <v>29946.819367868571</v>
      </c>
    </row>
    <row r="26" spans="1:17" s="483" customFormat="1">
      <c r="A26" s="481" t="s">
        <v>564</v>
      </c>
      <c r="B26" s="835">
        <f t="shared" ca="1" si="2"/>
        <v>5.1134591728889491</v>
      </c>
      <c r="C26" s="482"/>
      <c r="D26" s="482">
        <f t="shared" si="4"/>
        <v>14.413196702052907</v>
      </c>
      <c r="E26" s="482">
        <f t="shared" si="5"/>
        <v>60.072440081407478</v>
      </c>
      <c r="F26" s="482"/>
      <c r="G26" s="482">
        <f t="shared" si="7"/>
        <v>21660.190651736404</v>
      </c>
      <c r="H26" s="482">
        <f t="shared" si="8"/>
        <v>4699.9061969802478</v>
      </c>
      <c r="I26" s="482"/>
      <c r="J26" s="482"/>
      <c r="K26" s="482"/>
      <c r="L26" s="482"/>
      <c r="M26" s="482">
        <f t="shared" si="13"/>
        <v>0</v>
      </c>
      <c r="N26" s="482"/>
      <c r="O26" s="482"/>
      <c r="P26" s="493"/>
      <c r="Q26" s="481">
        <f t="shared" ca="1" si="17"/>
        <v>26439.695944673003</v>
      </c>
    </row>
    <row r="27" spans="1:17">
      <c r="A27" s="477" t="s">
        <v>554</v>
      </c>
      <c r="B27" s="478">
        <f t="shared" ca="1" si="2"/>
        <v>0</v>
      </c>
      <c r="C27" s="478"/>
      <c r="D27" s="482">
        <f t="shared" si="4"/>
        <v>0</v>
      </c>
      <c r="E27" s="478"/>
      <c r="F27" s="478"/>
      <c r="G27" s="478">
        <f t="shared" si="7"/>
        <v>205.60319040856206</v>
      </c>
      <c r="H27" s="478"/>
      <c r="I27" s="478"/>
      <c r="J27" s="478"/>
      <c r="K27" s="478"/>
      <c r="L27" s="478"/>
      <c r="M27" s="478">
        <f t="shared" si="13"/>
        <v>0</v>
      </c>
      <c r="N27" s="478"/>
      <c r="O27" s="478"/>
      <c r="P27" s="479"/>
      <c r="Q27" s="477">
        <f t="shared" ca="1" si="17"/>
        <v>205.60319040856206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27352.717062388245</v>
      </c>
      <c r="C31" s="488">
        <f t="shared" ca="1" si="18"/>
        <v>587.7945378151262</v>
      </c>
      <c r="D31" s="488">
        <f t="shared" ca="1" si="18"/>
        <v>24200.029438791618</v>
      </c>
      <c r="E31" s="488">
        <f t="shared" si="18"/>
        <v>1594.5237889979255</v>
      </c>
      <c r="F31" s="488">
        <f t="shared" ca="1" si="18"/>
        <v>12782.156033386587</v>
      </c>
      <c r="G31" s="488">
        <f t="shared" si="18"/>
        <v>21865.793842144965</v>
      </c>
      <c r="H31" s="488">
        <f t="shared" si="18"/>
        <v>4699.9061969802478</v>
      </c>
      <c r="I31" s="488">
        <f t="shared" si="18"/>
        <v>0</v>
      </c>
      <c r="J31" s="488">
        <f t="shared" si="18"/>
        <v>429.32764012246395</v>
      </c>
      <c r="K31" s="488">
        <f t="shared" si="18"/>
        <v>0</v>
      </c>
      <c r="L31" s="488">
        <f t="shared" ca="1" si="18"/>
        <v>0</v>
      </c>
      <c r="M31" s="488">
        <f t="shared" si="18"/>
        <v>0</v>
      </c>
      <c r="N31" s="488">
        <f t="shared" ca="1" si="18"/>
        <v>0</v>
      </c>
      <c r="O31" s="488">
        <f t="shared" si="18"/>
        <v>0</v>
      </c>
      <c r="P31" s="489">
        <f t="shared" si="18"/>
        <v>0</v>
      </c>
      <c r="Q31" s="489">
        <f t="shared" ca="1" si="18"/>
        <v>93512.248540627203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0.21355907690669582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0.21355907690669582</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0.21355907690669582</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2019-01-01T21:27:08Z</dcterms:modified>
</cp:coreProperties>
</file>