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L16"/>
  <c r="L18" s="1"/>
  <c r="L8" i="48" s="1"/>
  <c r="F16" i="16"/>
  <c r="C13" i="15"/>
  <c r="L6" i="17"/>
  <c r="L5" s="1"/>
  <c r="D8"/>
  <c r="N16" i="16"/>
  <c r="B8" i="9"/>
  <c r="B6" i="48" s="1"/>
  <c r="Q6" s="1"/>
  <c r="C16" i="15"/>
  <c r="D10" i="14" s="1"/>
  <c r="I8" i="18"/>
  <c r="J68" i="14" s="1"/>
  <c r="I14" i="15"/>
  <c r="I16" s="1"/>
  <c r="J10" i="14" s="1"/>
  <c r="B13" i="16"/>
  <c r="C35"/>
  <c r="E9" i="14"/>
  <c r="D14" i="15"/>
  <c r="P18" i="16"/>
  <c r="Q13" i="14" s="1"/>
  <c r="N6" i="17"/>
  <c r="N5" s="1"/>
  <c r="J8"/>
  <c r="K22" i="14" s="1"/>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L22" i="16"/>
  <c r="M39" i="14" s="1"/>
  <c r="J12" i="17"/>
  <c r="K48" i="14" s="1"/>
  <c r="J7" i="48"/>
  <c r="J24" s="1"/>
  <c r="M13" i="14"/>
  <c r="I5" i="48"/>
  <c r="I22" s="1"/>
  <c r="I31" s="1"/>
  <c r="P22" i="16"/>
  <c r="Q39" i="14" s="1"/>
  <c r="P8" i="48"/>
  <c r="P25" s="1"/>
  <c r="J15" i="14"/>
  <c r="J23" s="1"/>
  <c r="E8" i="17"/>
  <c r="F22" i="14" s="1"/>
  <c r="O18" i="16"/>
  <c r="O22" s="1"/>
  <c r="P39" i="14" s="1"/>
  <c r="B34" i="13"/>
  <c r="H13" i="48"/>
  <c r="H30" s="1"/>
  <c r="H12" i="22"/>
  <c r="B35" i="13"/>
  <c r="B47" s="1"/>
  <c r="B36"/>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E5" i="15"/>
  <c r="O20"/>
  <c r="P36" i="14" s="1"/>
  <c r="P10"/>
  <c r="P20" i="15"/>
  <c r="Q36" i="14" s="1"/>
  <c r="Q10"/>
  <c r="Q15" s="1"/>
  <c r="Q23" s="1"/>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C50" i="13"/>
  <c r="J5" s="1"/>
  <c r="J8" s="1"/>
  <c r="C5" i="48"/>
  <c r="H14" i="22" l="1"/>
  <c r="I19" i="14" s="1"/>
  <c r="I20" s="1"/>
  <c r="I23" s="1"/>
  <c r="I14" i="48"/>
  <c r="Q41" i="14"/>
  <c r="Q53" s="1"/>
  <c r="Q55" s="1"/>
  <c r="E12" i="17"/>
  <c r="F48" i="14" s="1"/>
  <c r="P41"/>
  <c r="P53" s="1"/>
  <c r="E7" i="48"/>
  <c r="E24" s="1"/>
  <c r="E13" i="14"/>
  <c r="N7" i="48"/>
  <c r="N24" s="1"/>
  <c r="D8"/>
  <c r="D25" s="1"/>
  <c r="E16" i="15"/>
  <c r="F10" i="14" s="1"/>
  <c r="J16" i="15"/>
  <c r="K10" i="14"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B22" s="1"/>
  <c r="N5" i="16"/>
  <c r="F5" i="48"/>
  <c r="F22" s="1"/>
  <c r="E5" i="16"/>
  <c r="J5"/>
  <c r="C35" i="13"/>
  <c r="F5" i="16"/>
  <c r="C36" i="13"/>
  <c r="O22" i="48"/>
  <c r="O31" s="1"/>
  <c r="N12" i="13"/>
  <c r="O37" i="14" s="1"/>
  <c r="O11"/>
  <c r="C38" i="13"/>
  <c r="C39"/>
  <c r="C32"/>
  <c r="C34"/>
  <c r="E4" i="48"/>
  <c r="E21" s="1"/>
  <c r="F11" i="14"/>
  <c r="J4" i="48"/>
  <c r="J12" i="13"/>
  <c r="K37" i="14" s="1"/>
  <c r="K11"/>
  <c r="N5" i="48"/>
  <c r="L20" i="15"/>
  <c r="D31" i="48" l="1"/>
  <c r="E20" i="15"/>
  <c r="F36" i="14" s="1"/>
  <c r="L31" i="48"/>
  <c r="N20" i="14"/>
  <c r="N23" s="1"/>
  <c r="E5" i="48"/>
  <c r="E22" s="1"/>
  <c r="J9" i="18"/>
  <c r="M7"/>
  <c r="M9" s="1"/>
  <c r="M16"/>
  <c r="M19" s="1"/>
  <c r="J18" i="16"/>
  <c r="J22" s="1"/>
  <c r="K39" i="14" s="1"/>
  <c r="K41" s="1"/>
  <c r="K53" s="1"/>
  <c r="E18" i="16"/>
  <c r="E8" i="48" s="1"/>
  <c r="F18" i="16"/>
  <c r="G13" i="14" s="1"/>
  <c r="G15" s="1"/>
  <c r="G23" s="1"/>
  <c r="N18" i="16"/>
  <c r="N8" i="48" s="1"/>
  <c r="R22" i="14"/>
  <c r="Q7" i="48"/>
  <c r="N46" i="14"/>
  <c r="N53"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N22" i="16"/>
  <c r="O39" i="14" s="1"/>
  <c r="O41" s="1"/>
  <c r="Q4" i="48"/>
  <c r="N22"/>
  <c r="R11" i="14"/>
  <c r="J21" i="48"/>
  <c r="R10" i="14"/>
  <c r="F22" i="16" l="1"/>
  <c r="G39" i="14" s="1"/>
  <c r="G41" s="1"/>
  <c r="F13"/>
  <c r="F15" s="1"/>
  <c r="F23" s="1"/>
  <c r="F55" s="1"/>
  <c r="F8" i="48"/>
  <c r="F14" s="1"/>
  <c r="J8"/>
  <c r="J25" s="1"/>
  <c r="O13" i="14"/>
  <c r="O15" s="1"/>
  <c r="N55"/>
  <c r="Q5" i="48"/>
  <c r="N25"/>
  <c r="N31" s="1"/>
  <c r="N14"/>
  <c r="E25"/>
  <c r="E31" s="1"/>
  <c r="E14"/>
  <c r="K13" i="14"/>
  <c r="K15" s="1"/>
  <c r="K23" s="1"/>
  <c r="H55"/>
  <c r="E55"/>
  <c r="C78"/>
  <c r="C81" s="1"/>
  <c r="J31" i="48"/>
  <c r="Q8"/>
  <c r="R19" i="14"/>
  <c r="R20" s="1"/>
  <c r="H14" i="48"/>
  <c r="G31"/>
  <c r="H26"/>
  <c r="H31" s="1"/>
  <c r="O53" i="14"/>
  <c r="G53"/>
  <c r="G55" s="1"/>
  <c r="O69" s="1"/>
  <c r="B9" i="6" s="1"/>
  <c r="B12" s="1"/>
  <c r="M53" i="14"/>
  <c r="M55" s="1"/>
  <c r="C12" i="13"/>
  <c r="D37" i="14" s="1"/>
  <c r="D41" s="1"/>
  <c r="C24" i="48"/>
  <c r="C28"/>
  <c r="C22"/>
  <c r="C25"/>
  <c r="C21"/>
  <c r="K55" i="14"/>
  <c r="R13"/>
  <c r="R15" s="1"/>
  <c r="F25" i="48"/>
  <c r="F31" s="1"/>
  <c r="J14" l="1"/>
  <c r="Q14"/>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<sst xmlns="http://schemas.openxmlformats.org/spreadsheetml/2006/main" count="2111" uniqueCount="855">
  <si>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</si>
  <si>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</si>
  <si>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</si>
  <si>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</si>
  <si>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</si>
  <si>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</si>
  <si>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</si>
  <si>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</si>
  <si>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</si>
  <si>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</si>
  <si>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</si>
  <si>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</si>
  <si>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</si>
  <si>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</si>
  <si>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</si>
  <si>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</si>
  <si>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</si>
  <si>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</si>
  <si>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</si>
  <si>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</si>
  <si>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</si>
  <si>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</si>
  <si>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</si>
  <si>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</si>
  <si>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</si>
  <si>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</si>
  <si>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</si>
  <si>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</si>
  <si>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</si>
  <si>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</si>
  <si>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</si>
  <si>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</si>
  <si>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</si>
  <si>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</si>
  <si>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</si>
  <si>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</si>
  <si>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</si>
  <si>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</si>
  <si>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</si>
  <si>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</si>
  <si>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</si>
  <si>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</si>
  <si>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</si>
  <si>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</si>
  <si>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</si>
  <si>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</si>
  <si>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</si>
  <si>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</si>
  <si>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</si>
  <si>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</si>
  <si>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</si>
  <si>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</si>
  <si>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</si>
  <si>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</si>
  <si>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</si>
  <si>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</si>
  <si>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</si>
  <si>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</si>
  <si>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</si>
  <si>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</si>
  <si>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</si>
  <si>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</si>
  <si>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</si>
  <si>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</si>
  <si>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</si>
  <si>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</si>
  <si>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</si>
  <si>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</si>
  <si>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</si>
  <si>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</si>
  <si>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</si>
  <si>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</si>
  <si>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</si>
  <si>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</si>
  <si>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</si>
  <si>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</si>
  <si>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</si>
  <si>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</si>
  <si>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</si>
  <si>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</si>
  <si>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</si>
  <si>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</si>
  <si>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</si>
  <si>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</si>
  <si>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</si>
  <si>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</si>
  <si>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</si>
  <si>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</si>
  <si>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</si>
  <si>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</si>
  <si>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</si>
  <si>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</si>
  <si>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</si>
  <si>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</si>
  <si>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</si>
  <si>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</si>
  <si>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</si>
  <si>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</si>
  <si>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</si>
  <si>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</si>
  <si>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</si>
  <si>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</si>
  <si>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</si>
  <si>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</si>
  <si>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</si>
  <si>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</si>
  <si>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</si>
  <si>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</si>
  <si>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</si>
  <si>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</si>
  <si>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</si>
  <si>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</si>
  <si>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</si>
  <si>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</si>
  <si>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</si>
  <si>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</si>
  <si>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</si>
  <si>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</si>
  <si>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</si>
  <si>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</si>
  <si>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</si>
  <si>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</si>
  <si>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</si>
  <si>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</si>
  <si>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</si>
  <si>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</si>
  <si>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</si>
  <si>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</si>
  <si>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</si>
  <si>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</si>
  <si>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</si>
  <si>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</si>
  <si>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</si>
  <si>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</si>
  <si>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</si>
  <si>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</si>
  <si>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</si>
  <si>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</si>
  <si>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</si>
  <si>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</si>
  <si>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</si>
  <si>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</si>
  <si>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</si>
  <si>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</si>
  <si>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</si>
  <si>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</si>
  <si>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</si>
  <si>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</si>
  <si>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</si>
  <si>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</si>
  <si>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</si>
  <si>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</si>
  <si>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</si>
  <si>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</si>
  <si>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</si>
  <si>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</si>
  <si>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</si>
  <si>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</si>
  <si>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</si>
  <si>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</si>
  <si>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</si>
  <si>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</si>
  <si>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</si>
  <si>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</si>
  <si>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</si>
  <si>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</si>
  <si>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</si>
  <si>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</si>
  <si>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</si>
  <si>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</si>
  <si>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</si>
  <si>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</si>
  <si>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</si>
  <si>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</si>
  <si>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</si>
  <si>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</si>
  <si>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</si>
  <si>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</si>
  <si>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</si>
  <si>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</si>
  <si>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</si>
  <si>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</si>
  <si>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</si>
  <si>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</si>
  <si>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</si>
  <si>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</si>
  <si>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</si>
  <si>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</si>
  <si>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</si>
  <si>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</si>
  <si>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</si>
  <si>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</si>
  <si>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</si>
  <si>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</si>
  <si>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</si>
  <si>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</si>
  <si>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</si>
  <si>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</si>
  <si>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</si>
  <si>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</si>
  <si>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</si>
  <si>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</si>
  <si>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</si>
  <si>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</si>
  <si>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</si>
  <si>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</si>
  <si>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</si>
  <si>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</si>
  <si>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</si>
  <si>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</si>
  <si>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</si>
  <si>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</si>
  <si>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</si>
  <si>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</si>
  <si>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</si>
  <si>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</si>
  <si>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</si>
  <si>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</si>
  <si>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</si>
  <si>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</si>
  <si>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</si>
  <si>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</si>
  <si>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</si>
  <si>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</si>
  <si>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</si>
  <si>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</si>
  <si>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</si>
  <si>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</si>
  <si>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</si>
  <si>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</si>
  <si>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</si>
  <si>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</si>
  <si>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</si>
  <si>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</si>
  <si>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</si>
  <si>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</si>
  <si>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</si>
  <si>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</si>
  <si>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</si>
  <si>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</si>
  <si>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</si>
  <si>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</si>
  <si>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</si>
  <si>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</si>
  <si>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</si>
  <si>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</si>
  <si>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</si>
  <si>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</si>
  <si>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</si>
  <si>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</si>
  <si>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</si>
  <si>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</si>
  <si>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</si>
  <si>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</si>
  <si>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</si>
  <si>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</si>
  <si>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</si>
  <si>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</si>
  <si>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</si>
  <si>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</si>
  <si>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</si>
  <si>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</si>
  <si>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</si>
  <si>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</si>
  <si>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</si>
  <si>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</si>
  <si>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</si>
  <si>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</si>
  <si>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</si>
  <si>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</si>
  <si>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</si>
  <si>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</si>
  <si>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</si>
  <si>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</si>
  <si>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</si>
  <si>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</si>
  <si>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</si>
  <si>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</si>
  <si>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</si>
  <si>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</si>
  <si>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</si>
  <si>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</si>
  <si>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</si>
  <si>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</si>
  <si>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</si>
  <si>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</si>
  <si>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</si>
  <si>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</si>
  <si>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</si>
  <si>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</si>
  <si>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</si>
  <si>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</si>
  <si>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</si>
  <si>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</si>
  <si>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</si>
  <si>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</si>
  <si>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</si>
  <si>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</si>
  <si>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</si>
  <si>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</si>
  <si>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</si>
  <si>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</si>
  <si>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</si>
  <si>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</si>
  <si>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</si>
  <si>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</si>
  <si>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</si>
  <si>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</si>
  <si>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</si>
  <si>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</si>
  <si>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</si>
  <si>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</si>
  <si>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</si>
  <si>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</si>
  <si>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</si>
  <si>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</si>
  <si>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</si>
  <si>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</si>
  <si>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</si>
  <si>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</si>
  <si>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</si>
  <si>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</si>
  <si>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</si>
  <si>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</si>
  <si>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</si>
  <si>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</si>
  <si>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</si>
  <si>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</si>
  <si>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</si>
  <si>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</si>
  <si>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</si>
  <si>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</si>
  <si>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</si>
  <si>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</si>
  <si>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</si>
  <si>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</si>
  <si>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</si>
  <si>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</si>
  <si>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</si>
  <si>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</si>
  <si>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</si>
  <si>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</si>
  <si>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</si>
  <si>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</si>
  <si>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</si>
  <si>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</si>
  <si>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</si>
  <si>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</si>
  <si>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</si>
  <si>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</si>
  <si>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</si>
  <si>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</si>
  <si>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</si>
  <si>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</si>
  <si>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</si>
  <si>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</si>
  <si>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</si>
  <si>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</si>
  <si>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</si>
  <si>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</si>
  <si>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</si>
  <si>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</si>
  <si>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</si>
  <si>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</si>
  <si>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</si>
  <si>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</si>
  <si>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</si>
  <si>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</si>
  <si>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</si>
  <si>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</si>
  <si>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</si>
  <si>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</si>
  <si>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</si>
  <si>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</si>
  <si>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</si>
  <si>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</si>
  <si>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</si>
  <si>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</si>
  <si>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</si>
  <si>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</si>
  <si>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</si>
  <si>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</si>
  <si>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</si>
  <si>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</si>
  <si>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</si>
  <si>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</si>
  <si>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</si>
  <si>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</si>
  <si>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</si>
  <si>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</si>
  <si>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</si>
  <si>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</si>
  <si>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</si>
  <si>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</si>
  <si>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</si>
  <si>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</si>
  <si>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</si>
  <si>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</si>
  <si>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</si>
  <si>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</si>
  <si>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</si>
  <si>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</si>
  <si>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</si>
  <si>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</si>
  <si>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</si>
  <si>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</si>
  <si>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</si>
  <si>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</si>
  <si>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</si>
  <si>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</si>
  <si>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</si>
  <si>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</si>
  <si>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</si>
  <si>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</si>
  <si>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</si>
  <si>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</si>
  <si>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</si>
  <si>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</si>
  <si>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</si>
  <si>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</si>
  <si>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</si>
  <si>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</si>
  <si>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</si>
  <si>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</si>
  <si>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</si>
  <si>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</si>
  <si>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</si>
  <si>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</si>
  <si>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</si>
  <si>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</si>
  <si>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</si>
  <si>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</si>
  <si>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</si>
  <si>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</si>
  <si>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</si>
  <si>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</si>
  <si>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</si>
  <si>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</si>
  <si>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</si>
  <si>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</si>
  <si>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</si>
  <si>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</si>
  <si>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</si>
  <si>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</si>
  <si>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</si>
  <si>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</si>
  <si>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</si>
  <si>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</si>
  <si>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</si>
  <si>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</si>
  <si>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</si>
  <si>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</si>
  <si>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</si>
  <si>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</si>
  <si>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</si>
  <si>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</si>
  <si>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</si>
  <si>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</si>
  <si>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</si>
  <si>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</si>
  <si>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</si>
  <si>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</si>
  <si>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</si>
  <si>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</si>
  <si>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</si>
  <si>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</si>
  <si>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</si>
  <si>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</si>
  <si>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</si>
  <si>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</si>
  <si>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</si>
  <si>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</si>
  <si>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</si>
  <si>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</si>
  <si>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</si>
  <si>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</si>
  <si>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</si>
  <si>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</si>
  <si>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</si>
  <si>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</si>
  <si>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</si>
  <si>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</si>
  <si>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</si>
  <si>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</si>
  <si>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</si>
  <si>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</si>
  <si>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</si>
  <si>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</si>
  <si>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</si>
  <si>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</si>
  <si>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</si>
  <si>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</si>
  <si>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</si>
  <si>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</si>
  <si>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</si>
  <si>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</si>
  <si>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</si>
  <si>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</si>
  <si>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</si>
  <si>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</si>
  <si>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</si>
  <si>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</si>
  <si>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</si>
  <si>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</si>
  <si>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</si>
  <si>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</si>
  <si>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</si>
  <si>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</si>
  <si>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</si>
  <si>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</si>
  <si>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</si>
  <si>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</si>
  <si>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</si>
  <si>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</si>
  <si>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</si>
  <si>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</si>
  <si>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</si>
  <si>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</si>
  <si>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</si>
  <si>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</si>
  <si>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</si>
  <si>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</si>
  <si>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</si>
  <si>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</si>
  <si>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</si>
  <si>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</si>
  <si>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</si>
  <si>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</si>
  <si>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</si>
  <si>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</si>
  <si>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</si>
  <si>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</si>
  <si>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</si>
  <si>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</si>
  <si>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</si>
  <si>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</si>
  <si>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</si>
  <si>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</si>
  <si>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</si>
  <si>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</si>
  <si>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</si>
  <si>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</si>
  <si>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</si>
  <si>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</si>
  <si>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</si>
  <si>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</si>
  <si>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</si>
  <si>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</si>
  <si>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</si>
  <si>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</si>
  <si>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</si>
  <si>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</si>
  <si>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</si>
  <si>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</si>
  <si>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</si>
  <si>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</si>
  <si>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</si>
  <si>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</si>
  <si>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</si>
  <si>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</si>
  <si>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</si>
  <si>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</si>
  <si>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</si>
  <si>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</si>
  <si>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</si>
  <si>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</si>
  <si>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</si>
  <si>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</si>
  <si>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</si>
  <si>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</si>
  <si>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</si>
  <si>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</si>
  <si>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</si>
  <si>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</si>
  <si>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</si>
  <si>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</si>
  <si>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</si>
  <si>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</si>
  <si>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</si>
  <si>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</si>
  <si>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</si>
  <si>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</si>
  <si>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</si>
  <si>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</si>
  <si>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</si>
  <si>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</si>
  <si>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</si>
  <si>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</si>
  <si>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</si>
  <si>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</si>
  <si>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</si>
  <si>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</si>
  <si>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</si>
  <si>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</si>
  <si>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</si>
  <si>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</si>
  <si>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</si>
  <si>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</si>
  <si>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</si>
  <si>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</si>
  <si>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</si>
  <si>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</si>
  <si>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</si>
  <si>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</si>
  <si>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</si>
  <si>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</si>
  <si>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</si>
  <si>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</si>
  <si>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</si>
  <si>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</si>
  <si>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</si>
  <si>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</si>
  <si>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</si>
  <si>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</si>
  <si>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</si>
  <si>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</si>
  <si>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</si>
  <si>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</si>
  <si>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</si>
  <si>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</si>
  <si>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</si>
  <si>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</si>
  <si>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</si>
  <si>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</si>
  <si>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</si>
  <si>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</si>
  <si>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</si>
  <si>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</si>
  <si>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</si>
  <si>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</si>
  <si>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</si>
  <si>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</si>
  <si>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</si>
  <si>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</si>
  <si>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</si>
  <si>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</si>
  <si>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</si>
  <si>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</si>
  <si>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</si>
  <si>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</si>
  <si>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</si>
  <si>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</si>
  <si>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</si>
  <si>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</si>
  <si>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</si>
  <si>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</si>
  <si>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</si>
  <si>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</si>
  <si>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</si>
  <si>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</si>
  <si>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</si>
  <si>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</si>
  <si>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</si>
  <si>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</si>
  <si>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</si>
  <si>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</si>
  <si>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</si>
  <si>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</si>
  <si>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</si>
  <si>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</si>
  <si>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</si>
  <si>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</si>
  <si>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</si>
  <si>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</si>
  <si>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</si>
  <si>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</si>
  <si>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</si>
  <si>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</si>
  <si>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</si>
  <si>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</si>
  <si>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</si>
  <si>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</si>
  <si>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</si>
  <si>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</si>
  <si>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</si>
  <si>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</si>
  <si>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</si>
  <si>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</si>
  <si>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</si>
  <si>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</si>
  <si>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</si>
  <si>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</si>
  <si>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</si>
  <si>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</si>
  <si>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</si>
  <si>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</si>
  <si>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</si>
  <si>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</si>
  <si>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</si>
  <si>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</si>
  <si>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</si>
  <si>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</si>
  <si>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</si>
  <si>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</si>
  <si>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</si>
  <si>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</si>
  <si>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</si>
  <si>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</si>
  <si>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</si>
  <si>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</si>
  <si>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</si>
  <si>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</si>
  <si>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</si>
  <si>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</si>
  <si>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</si>
  <si>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</si>
  <si>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</si>
  <si>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</si>
  <si>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</si>
  <si>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</si>
  <si>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</si>
  <si>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</si>
  <si>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</si>
  <si>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</si>
  <si>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</si>
  <si>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</si>
  <si>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</si>
  <si>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</si>
  <si>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</si>
  <si>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</si>
  <si>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</si>
  <si>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</si>
  <si>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</si>
  <si>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</si>
  <si>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</si>
  <si>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</si>
  <si>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</si>
  <si>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</si>
  <si>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</si>
  <si>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</si>
  <si>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</si>
  <si>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</si>
  <si>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</si>
  <si>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</si>
  <si>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</si>
  <si>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</si>
  <si>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</si>
  <si>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</si>
  <si>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</si>
  <si>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</si>
  <si>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</si>
  <si>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</si>
  <si>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</si>
  <si>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</si>
  <si>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</si>
  <si>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</si>
  <si>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</si>
  <si>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</si>
  <si>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</si>
  <si>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</si>
  <si>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</si>
  <si>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</si>
  <si>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</si>
  <si>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</si>
  <si>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</si>
  <si>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</si>
  <si>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</si>
  <si>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</si>
  <si>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</si>
  <si>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</si>
  <si>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</si>
  <si>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</si>
  <si>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</si>
  <si>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</si>
  <si>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</si>
  <si>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</si>
  <si>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</si>
  <si>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</si>
  <si>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</si>
  <si>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</si>
  <si>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</si>
  <si>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</si>
  <si>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</si>
  <si>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</si>
  <si>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</si>
  <si>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</si>
  <si>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</si>
  <si>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</si>
  <si>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</si>
  <si>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</si>
  <si>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</si>
  <si>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</si>
  <si>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</si>
  <si>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</si>
  <si>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</si>
  <si>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</si>
  <si>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</si>
  <si>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</si>
  <si>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</si>
  <si>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</si>
  <si>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</si>
  <si>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</si>
  <si>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</si>
  <si>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</si>
  <si>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</si>
  <si>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</si>
  <si>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</si>
  <si>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</si>
  <si>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</si>
  <si>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</si>
  <si>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</si>
  <si>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</si>
  <si>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</si>
  <si>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</si>
  <si>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</si>
  <si>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</si>
  <si>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</si>
  <si>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</si>
  <si>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</si>
  <si>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</si>
  <si>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</si>
  <si>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</si>
  <si>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</si>
  <si>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</si>
  <si>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</si>
  <si>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</si>
  <si>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</si>
  <si>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</si>
  <si>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</si>
  <si>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</si>
  <si>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</si>
  <si>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</si>
  <si>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</si>
  <si>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</si>
  <si>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</si>
  <si>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</si>
  <si>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</si>
  <si>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</si>
  <si>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</si>
  <si>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</si>
  <si>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</si>
  <si>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</si>
  <si>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</si>
  <si>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</si>
  <si>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</si>
  <si>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</si>
  <si>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</si>
  <si>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</si>
  <si>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</si>
  <si>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</si>
  <si>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</si>
  <si>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</si>
  <si>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</si>
  <si>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2015_03</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</si>
  <si>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</si>
  <si>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</si>
  <si>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</si>
  <si>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38016</t>
  </si>
  <si>
    <t>NIEUWPOORT</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</si>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</sst>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3">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6">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109" fillId="12" borderId="193" xfId="0" applyNumberFormat="1" applyFont="1" applyFill="1" applyBorder="1" applyAlignment="1">
      <alignment horizontal="center" vertical="center" wrapText="1"/>
    </xf>
    <xf numFmtId="3" fontId="23" fillId="0" borderId="0" xfId="0" applyNumberFormat="1" applyFont="1"/>
    <xf numFmtId="3" fontId="109" fillId="12" borderId="191" xfId="0" applyNumberFormat="1" applyFont="1" applyFill="1" applyBorder="1" applyAlignment="1">
      <alignment horizontal="center" vertical="center" wrapText="1"/>
    </xf>
    <xf numFmtId="3" fontId="23" fillId="0" borderId="194" xfId="0" applyNumberFormat="1" applyFont="1" applyBorder="1" applyAlignment="1">
      <alignment horizontal="left" vertical="top"/>
    </xf>
    <xf numFmtId="3" fontId="24"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4" fillId="30" borderId="195" xfId="0" applyNumberFormat="1" applyFont="1" applyFill="1" applyBorder="1" applyAlignment="1">
      <alignment horizontal="left" vertical="top" wrapText="1"/>
    </xf>
    <xf numFmtId="3" fontId="24"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3" fillId="0" borderId="188" xfId="0" applyNumberFormat="1" applyFont="1" applyBorder="1" applyAlignment="1">
      <alignment horizontal="left" vertical="top"/>
    </xf>
    <xf numFmtId="3" fontId="24"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4" fillId="30" borderId="189" xfId="0" applyNumberFormat="1" applyFont="1" applyFill="1" applyBorder="1" applyAlignment="1">
      <alignment horizontal="left" vertical="top" wrapText="1"/>
    </xf>
    <xf numFmtId="3" fontId="24"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4"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4" fillId="0" borderId="189" xfId="0" applyNumberFormat="1" applyFont="1" applyBorder="1" applyAlignment="1">
      <alignment horizontal="left" vertical="top" wrapText="1"/>
    </xf>
    <xf numFmtId="3" fontId="24"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0" fillId="0" borderId="188" xfId="0" applyNumberFormat="1" applyFont="1" applyBorder="1" applyAlignment="1">
      <alignment horizontal="left" vertical="top"/>
    </xf>
    <xf numFmtId="3" fontId="24" fillId="0" borderId="190"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3"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1" fillId="0" borderId="201" xfId="0" applyNumberFormat="1" applyFont="1" applyBorder="1"/>
    <xf numFmtId="3" fontId="7" fillId="0" borderId="192" xfId="0" applyNumberFormat="1" applyFont="1" applyBorder="1"/>
    <xf numFmtId="3" fontId="7" fillId="0" borderId="202" xfId="0" applyNumberFormat="1" applyFont="1" applyBorder="1"/>
    <xf numFmtId="3" fontId="7" fillId="0" borderId="193" xfId="0" applyNumberFormat="1" applyFont="1" applyBorder="1"/>
    <xf numFmtId="3" fontId="7" fillId="0" borderId="191" xfId="0" applyNumberFormat="1" applyFont="1" applyBorder="1"/>
    <xf numFmtId="3" fontId="0" fillId="0" borderId="203"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8" fillId="0" borderId="0" xfId="0" applyNumberFormat="1" applyFont="1" applyFill="1" applyBorder="1" applyAlignment="1">
      <alignment horizontal="left" vertical="center" wrapText="1"/>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42"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59" fillId="12" borderId="31"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64"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91" xfId="0" applyNumberFormat="1" applyFont="1" applyFill="1" applyBorder="1" applyAlignment="1">
      <alignment horizontal="center" vertical="center" wrapText="1"/>
    </xf>
    <xf numFmtId="3" fontId="109" fillId="12" borderId="192" xfId="0" applyNumberFormat="1" applyFont="1" applyFill="1" applyBorder="1" applyAlignment="1">
      <alignment horizontal="center" vertical="top" wrapText="1"/>
    </xf>
    <xf numFmtId="3" fontId="109" fillId="12" borderId="193"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39" fillId="12" borderId="64" xfId="0" applyNumberFormat="1" applyFont="1" applyFill="1" applyBorder="1" applyAlignment="1" applyProtection="1">
      <alignment horizontal="center" vertical="center" wrapText="1"/>
    </xf>
    <xf numFmtId="0" fontId="39" fillId="12" borderId="7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78097.804926854107</c:v>
                </c:pt>
                <c:pt idx="1">
                  <c:v>89950.716016886814</c:v>
                </c:pt>
                <c:pt idx="2">
                  <c:v>1051.299</c:v>
                </c:pt>
                <c:pt idx="3">
                  <c:v>13193.323409076189</c:v>
                </c:pt>
                <c:pt idx="4">
                  <c:v>13787.702113365012</c:v>
                </c:pt>
                <c:pt idx="5">
                  <c:v>119662.45494884865</c:v>
                </c:pt>
                <c:pt idx="6">
                  <c:v>1512.1259795603119</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934336"/>
        <c:axId val="183940224"/>
      </c:barChart>
      <c:catAx>
        <c:axId val="183934336"/>
        <c:scaling>
          <c:orientation val="minMax"/>
        </c:scaling>
        <c:axPos val="b"/>
        <c:numFmt formatCode="General" sourceLinked="0"/>
        <c:tickLblPos val="nextTo"/>
        <c:crossAx val="183940224"/>
        <c:crosses val="autoZero"/>
        <c:auto val="1"/>
        <c:lblAlgn val="ctr"/>
        <c:lblOffset val="100"/>
      </c:catAx>
      <c:valAx>
        <c:axId val="183940224"/>
        <c:scaling>
          <c:orientation val="minMax"/>
        </c:scaling>
        <c:axPos val="l"/>
        <c:majorGridlines/>
        <c:numFmt formatCode="#,##0" sourceLinked="1"/>
        <c:tickLblPos val="nextTo"/>
        <c:crossAx val="1839343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78097.804926854107</c:v>
                </c:pt>
                <c:pt idx="1">
                  <c:v>89950.716016886814</c:v>
                </c:pt>
                <c:pt idx="2">
                  <c:v>1051.299</c:v>
                </c:pt>
                <c:pt idx="3">
                  <c:v>13193.323409076189</c:v>
                </c:pt>
                <c:pt idx="4">
                  <c:v>13787.702113365012</c:v>
                </c:pt>
                <c:pt idx="5">
                  <c:v>119662.45494884865</c:v>
                </c:pt>
                <c:pt idx="6">
                  <c:v>1512.1259795603119</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15493.581957215802</c:v>
                </c:pt>
                <c:pt idx="1">
                  <c:v>18771.39643287268</c:v>
                </c:pt>
                <c:pt idx="2">
                  <c:v>227.32154194065549</c:v>
                </c:pt>
                <c:pt idx="3">
                  <c:v>2974.8647596358478</c:v>
                </c:pt>
                <c:pt idx="4">
                  <c:v>2711.215771073767</c:v>
                </c:pt>
                <c:pt idx="5">
                  <c:v>30725.490575444615</c:v>
                </c:pt>
                <c:pt idx="6">
                  <c:v>356.37163532456486</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4346880"/>
        <c:axId val="184406016"/>
      </c:barChart>
      <c:catAx>
        <c:axId val="184346880"/>
        <c:scaling>
          <c:orientation val="minMax"/>
        </c:scaling>
        <c:axPos val="b"/>
        <c:numFmt formatCode="General" sourceLinked="0"/>
        <c:tickLblPos val="nextTo"/>
        <c:crossAx val="184406016"/>
        <c:crosses val="autoZero"/>
        <c:auto val="1"/>
        <c:lblAlgn val="ctr"/>
        <c:lblOffset val="100"/>
      </c:catAx>
      <c:valAx>
        <c:axId val="184406016"/>
        <c:scaling>
          <c:orientation val="minMax"/>
        </c:scaling>
        <c:axPos val="l"/>
        <c:majorGridlines/>
        <c:numFmt formatCode="#,##0" sourceLinked="1"/>
        <c:tickLblPos val="nextTo"/>
        <c:crossAx val="18434688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15493.581957215802</c:v>
                </c:pt>
                <c:pt idx="1">
                  <c:v>18771.39643287268</c:v>
                </c:pt>
                <c:pt idx="2">
                  <c:v>227.32154194065549</c:v>
                </c:pt>
                <c:pt idx="3">
                  <c:v>2974.8647596358478</c:v>
                </c:pt>
                <c:pt idx="4">
                  <c:v>2711.215771073767</c:v>
                </c:pt>
                <c:pt idx="5">
                  <c:v>30725.490575444615</c:v>
                </c:pt>
                <c:pt idx="6">
                  <c:v>356.37163532456486</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843</v>
      </c>
      <c r="B4" s="106"/>
      <c r="C4" s="107"/>
    </row>
    <row r="5" spans="1:7" s="413" customFormat="1" ht="15.75" customHeight="1">
      <c r="A5" s="410" t="s">
        <v>0</v>
      </c>
      <c r="B5" s="411"/>
      <c r="C5" s="412"/>
    </row>
    <row r="6" spans="1:7" s="413" customFormat="1" ht="15" customHeight="1">
      <c r="A6" s="414" t="str">
        <f>txtNIS</f>
        <v>38016</v>
      </c>
      <c r="B6" s="415"/>
      <c r="C6" s="416"/>
    </row>
    <row r="7" spans="1:7" s="413" customFormat="1" ht="15.75" customHeight="1">
      <c r="A7" s="417" t="str">
        <f>txtMunicipality</f>
        <v>NIEUWPOORT</v>
      </c>
      <c r="B7" s="415"/>
      <c r="C7" s="416"/>
    </row>
    <row r="8" spans="1:7" ht="15.75" thickBot="1">
      <c r="A8" s="45"/>
      <c r="B8" s="108"/>
      <c r="C8" s="109"/>
    </row>
    <row r="9" spans="1:7" s="406" customFormat="1" ht="15.75" thickBot="1">
      <c r="A9" s="430" t="s">
        <v>357</v>
      </c>
      <c r="B9" s="433"/>
      <c r="C9" s="434"/>
    </row>
    <row r="10" spans="1:7" s="15" customFormat="1" ht="57.75" customHeight="1" thickBot="1">
      <c r="A10" s="1064" t="s">
        <v>688</v>
      </c>
      <c r="B10" s="1065"/>
      <c r="C10" s="106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7" t="s">
        <v>523</v>
      </c>
      <c r="C16" s="106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73"/>
      <c r="K10" s="58"/>
    </row>
    <row r="11" spans="1:11" s="43" customFormat="1">
      <c r="A11" s="44" t="s">
        <v>568</v>
      </c>
      <c r="B11" s="47"/>
      <c r="D11" s="142" t="s">
        <v>392</v>
      </c>
      <c r="I11" s="1173"/>
      <c r="K11" s="58"/>
    </row>
    <row r="12" spans="1:11" s="43" customFormat="1">
      <c r="A12" s="44" t="s">
        <v>569</v>
      </c>
      <c r="B12" s="47"/>
      <c r="D12" s="142" t="s">
        <v>392</v>
      </c>
      <c r="I12" s="1173"/>
      <c r="K12" s="58"/>
    </row>
    <row r="13" spans="1:11" s="43" customFormat="1">
      <c r="A13" s="44"/>
      <c r="B13" s="478"/>
      <c r="D13" s="96"/>
      <c r="I13" s="1173"/>
    </row>
    <row r="14" spans="1:11" s="43" customFormat="1">
      <c r="A14" s="304" t="s">
        <v>566</v>
      </c>
      <c r="B14" s="531"/>
      <c r="C14" s="141" t="s">
        <v>182</v>
      </c>
      <c r="D14" s="144" t="s">
        <v>391</v>
      </c>
      <c r="I14" s="1173"/>
    </row>
    <row r="15" spans="1:11" s="43" customFormat="1">
      <c r="A15" s="44" t="s">
        <v>71</v>
      </c>
      <c r="B15" s="47"/>
      <c r="D15" s="142" t="s">
        <v>392</v>
      </c>
      <c r="I15" s="1173"/>
      <c r="J15" s="1173"/>
    </row>
    <row r="16" spans="1:11" s="43" customFormat="1">
      <c r="A16" s="44" t="s">
        <v>530</v>
      </c>
      <c r="B16" s="47"/>
      <c r="D16" s="142" t="s">
        <v>392</v>
      </c>
      <c r="I16" s="1173"/>
      <c r="J16" s="1173"/>
    </row>
    <row r="17" spans="1:11" s="43" customFormat="1">
      <c r="A17" s="44" t="s">
        <v>78</v>
      </c>
      <c r="B17" s="47"/>
      <c r="D17" s="142" t="s">
        <v>392</v>
      </c>
      <c r="I17" s="1173"/>
      <c r="J17" s="1173"/>
    </row>
    <row r="18" spans="1:11" s="43" customFormat="1">
      <c r="A18" s="44" t="s">
        <v>531</v>
      </c>
      <c r="B18" s="47"/>
      <c r="D18" s="142" t="s">
        <v>392</v>
      </c>
      <c r="I18" s="1173"/>
      <c r="J18" s="1173"/>
      <c r="K18" s="58"/>
    </row>
    <row r="19" spans="1:11" s="43" customFormat="1">
      <c r="A19" s="44" t="s">
        <v>77</v>
      </c>
      <c r="B19" s="47"/>
      <c r="D19" s="142" t="s">
        <v>392</v>
      </c>
      <c r="I19" s="1173"/>
      <c r="J19" s="1174"/>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73"/>
      <c r="J35" s="1173"/>
    </row>
    <row r="36" spans="1:11" s="43" customFormat="1">
      <c r="A36" s="466" t="s">
        <v>530</v>
      </c>
      <c r="B36" s="47"/>
      <c r="D36" s="142" t="s">
        <v>392</v>
      </c>
      <c r="I36" s="1173"/>
      <c r="J36" s="1173"/>
    </row>
    <row r="37" spans="1:11" s="43" customFormat="1">
      <c r="A37" s="466" t="s">
        <v>78</v>
      </c>
      <c r="B37" s="47"/>
      <c r="D37" s="142" t="s">
        <v>392</v>
      </c>
      <c r="I37" s="1173"/>
      <c r="J37" s="1173"/>
    </row>
    <row r="38" spans="1:11" s="43" customFormat="1">
      <c r="A38" s="466" t="s">
        <v>531</v>
      </c>
      <c r="B38" s="47"/>
      <c r="D38" s="142" t="s">
        <v>392</v>
      </c>
      <c r="I38" s="1173"/>
      <c r="J38" s="1173"/>
      <c r="K38" s="58"/>
    </row>
    <row r="39" spans="1:11" s="43" customFormat="1">
      <c r="A39" s="466" t="s">
        <v>77</v>
      </c>
      <c r="B39" s="47"/>
      <c r="D39" s="142" t="s">
        <v>392</v>
      </c>
      <c r="I39" s="1173"/>
      <c r="J39" s="1174"/>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38016</v>
      </c>
      <c r="B1" s="332"/>
      <c r="C1" s="332"/>
      <c r="D1" s="332"/>
      <c r="E1" s="332"/>
      <c r="F1" s="333"/>
    </row>
    <row r="3" spans="1:6" ht="19.5">
      <c r="A3" s="335" t="s">
        <v>0</v>
      </c>
    </row>
    <row r="4" spans="1:6" ht="22.5">
      <c r="A4" s="1269" t="s">
        <v>847</v>
      </c>
    </row>
    <row r="5" spans="1:6" ht="22.5">
      <c r="A5" s="1269" t="s">
        <v>848</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5817</v>
      </c>
      <c r="C9" s="342">
        <v>6006</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1933.04</v>
      </c>
    </row>
    <row r="15" spans="1:6">
      <c r="A15" s="348" t="s">
        <v>184</v>
      </c>
      <c r="B15" s="334">
        <v>18</v>
      </c>
    </row>
    <row r="16" spans="1:6">
      <c r="A16" s="348" t="s">
        <v>6</v>
      </c>
      <c r="B16" s="334">
        <v>759</v>
      </c>
    </row>
    <row r="17" spans="1:6">
      <c r="A17" s="348" t="s">
        <v>7</v>
      </c>
      <c r="B17" s="334">
        <v>516</v>
      </c>
    </row>
    <row r="18" spans="1:6">
      <c r="A18" s="348" t="s">
        <v>8</v>
      </c>
      <c r="B18" s="334">
        <v>872</v>
      </c>
    </row>
    <row r="19" spans="1:6">
      <c r="A19" s="348" t="s">
        <v>9</v>
      </c>
      <c r="B19" s="334">
        <v>1315</v>
      </c>
    </row>
    <row r="20" spans="1:6">
      <c r="A20" s="348" t="s">
        <v>10</v>
      </c>
      <c r="B20" s="334">
        <v>409</v>
      </c>
    </row>
    <row r="21" spans="1:6">
      <c r="A21" s="348" t="s">
        <v>11</v>
      </c>
      <c r="B21" s="334">
        <v>3086</v>
      </c>
    </row>
    <row r="22" spans="1:6">
      <c r="A22" s="348" t="s">
        <v>12</v>
      </c>
      <c r="B22" s="334">
        <v>9150</v>
      </c>
    </row>
    <row r="23" spans="1:6">
      <c r="A23" s="348" t="s">
        <v>13</v>
      </c>
      <c r="B23" s="334">
        <v>123</v>
      </c>
    </row>
    <row r="24" spans="1:6">
      <c r="A24" s="348" t="s">
        <v>14</v>
      </c>
      <c r="B24" s="334">
        <v>6</v>
      </c>
    </row>
    <row r="25" spans="1:6">
      <c r="A25" s="348" t="s">
        <v>15</v>
      </c>
      <c r="B25" s="334">
        <v>671</v>
      </c>
    </row>
    <row r="26" spans="1:6">
      <c r="A26" s="348" t="s">
        <v>16</v>
      </c>
      <c r="B26" s="334">
        <v>931</v>
      </c>
    </row>
    <row r="27" spans="1:6">
      <c r="A27" s="348" t="s">
        <v>17</v>
      </c>
      <c r="B27" s="334">
        <v>0</v>
      </c>
    </row>
    <row r="28" spans="1:6" s="356" customFormat="1">
      <c r="A28" s="355" t="s">
        <v>18</v>
      </c>
      <c r="B28" s="355">
        <v>56840</v>
      </c>
    </row>
    <row r="29" spans="1:6">
      <c r="A29" s="355" t="s">
        <v>849</v>
      </c>
      <c r="B29" s="355">
        <v>65</v>
      </c>
      <c r="C29" s="356"/>
      <c r="D29" s="356"/>
      <c r="E29" s="356"/>
      <c r="F29" s="356"/>
    </row>
    <row r="30" spans="1:6">
      <c r="A30" s="355" t="s">
        <v>850</v>
      </c>
      <c r="B30" s="341">
        <v>95</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4</v>
      </c>
      <c r="F36" s="334">
        <v>22817.299518</v>
      </c>
    </row>
    <row r="37" spans="1:6">
      <c r="A37" s="348" t="s">
        <v>25</v>
      </c>
      <c r="B37" s="348" t="s">
        <v>28</v>
      </c>
      <c r="C37" s="334">
        <v>0</v>
      </c>
      <c r="D37" s="334">
        <v>0</v>
      </c>
      <c r="E37" s="334">
        <v>0</v>
      </c>
      <c r="F37" s="334">
        <v>0</v>
      </c>
    </row>
    <row r="38" spans="1:6">
      <c r="A38" s="348" t="s">
        <v>25</v>
      </c>
      <c r="B38" s="348" t="s">
        <v>29</v>
      </c>
      <c r="C38" s="334">
        <v>3</v>
      </c>
      <c r="D38" s="334">
        <v>408314.34260999999</v>
      </c>
      <c r="E38" s="334">
        <v>2</v>
      </c>
      <c r="F38" s="334">
        <v>16715.718323000001</v>
      </c>
    </row>
    <row r="39" spans="1:6">
      <c r="A39" s="348" t="s">
        <v>30</v>
      </c>
      <c r="B39" s="348" t="s">
        <v>31</v>
      </c>
      <c r="C39" s="334">
        <v>4468</v>
      </c>
      <c r="D39" s="334">
        <v>50439484.564000003</v>
      </c>
      <c r="E39" s="334">
        <v>11578</v>
      </c>
      <c r="F39" s="334">
        <v>26776603.927000001</v>
      </c>
    </row>
    <row r="40" spans="1:6">
      <c r="A40" s="348" t="s">
        <v>30</v>
      </c>
      <c r="B40" s="348" t="s">
        <v>29</v>
      </c>
      <c r="C40" s="334">
        <v>0</v>
      </c>
      <c r="D40" s="334">
        <v>0</v>
      </c>
      <c r="E40" s="334">
        <v>0</v>
      </c>
      <c r="F40" s="334">
        <v>0</v>
      </c>
    </row>
    <row r="41" spans="1:6">
      <c r="A41" s="348" t="s">
        <v>32</v>
      </c>
      <c r="B41" s="348" t="s">
        <v>33</v>
      </c>
      <c r="C41" s="334">
        <v>133</v>
      </c>
      <c r="D41" s="334">
        <v>1506629.9842000001</v>
      </c>
      <c r="E41" s="334">
        <v>286</v>
      </c>
      <c r="F41" s="334">
        <v>1980324.9261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17</v>
      </c>
      <c r="F44" s="334">
        <v>397552.42132999998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30</v>
      </c>
      <c r="D48" s="334">
        <v>1522106.6527</v>
      </c>
      <c r="E48" s="334">
        <v>39</v>
      </c>
      <c r="F48" s="334">
        <v>504231.07643000002</v>
      </c>
    </row>
    <row r="49" spans="1:6">
      <c r="A49" s="348" t="s">
        <v>32</v>
      </c>
      <c r="B49" s="348" t="s">
        <v>40</v>
      </c>
      <c r="C49" s="334">
        <v>0</v>
      </c>
      <c r="D49" s="334">
        <v>0</v>
      </c>
      <c r="E49" s="334">
        <v>0</v>
      </c>
      <c r="F49" s="334">
        <v>0</v>
      </c>
    </row>
    <row r="50" spans="1:6">
      <c r="A50" s="348" t="s">
        <v>32</v>
      </c>
      <c r="B50" s="348" t="s">
        <v>41</v>
      </c>
      <c r="C50" s="334">
        <v>10</v>
      </c>
      <c r="D50" s="334">
        <v>1175634.1662000001</v>
      </c>
      <c r="E50" s="334">
        <v>25</v>
      </c>
      <c r="F50" s="334">
        <v>2356239.3909</v>
      </c>
    </row>
    <row r="51" spans="1:6">
      <c r="A51" s="348" t="s">
        <v>42</v>
      </c>
      <c r="B51" s="348" t="s">
        <v>43</v>
      </c>
      <c r="C51" s="334">
        <v>6</v>
      </c>
      <c r="D51" s="334">
        <v>87604.512864000004</v>
      </c>
      <c r="E51" s="334">
        <v>76</v>
      </c>
      <c r="F51" s="334">
        <v>1103428.2690000001</v>
      </c>
    </row>
    <row r="52" spans="1:6">
      <c r="A52" s="348" t="s">
        <v>42</v>
      </c>
      <c r="B52" s="348" t="s">
        <v>29</v>
      </c>
      <c r="C52" s="334">
        <v>4</v>
      </c>
      <c r="D52" s="334">
        <v>163768.84161</v>
      </c>
      <c r="E52" s="334">
        <v>4</v>
      </c>
      <c r="F52" s="334">
        <v>25861.367707000001</v>
      </c>
    </row>
    <row r="53" spans="1:6">
      <c r="A53" s="348" t="s">
        <v>44</v>
      </c>
      <c r="B53" s="348" t="s">
        <v>45</v>
      </c>
      <c r="C53" s="334">
        <v>617</v>
      </c>
      <c r="D53" s="334">
        <v>8334623.1852000002</v>
      </c>
      <c r="E53" s="334">
        <v>2497</v>
      </c>
      <c r="F53" s="334">
        <v>9596700.8851999994</v>
      </c>
    </row>
    <row r="54" spans="1:6">
      <c r="A54" s="348" t="s">
        <v>46</v>
      </c>
      <c r="B54" s="348" t="s">
        <v>47</v>
      </c>
      <c r="C54" s="334">
        <v>0</v>
      </c>
      <c r="D54" s="334">
        <v>0</v>
      </c>
      <c r="E54" s="334">
        <v>1</v>
      </c>
      <c r="F54" s="334">
        <v>1051299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40</v>
      </c>
      <c r="D57" s="334">
        <v>3539724.0545000001</v>
      </c>
      <c r="E57" s="334">
        <v>96</v>
      </c>
      <c r="F57" s="334">
        <v>3172549.6406999999</v>
      </c>
    </row>
    <row r="58" spans="1:6">
      <c r="A58" s="348" t="s">
        <v>49</v>
      </c>
      <c r="B58" s="348" t="s">
        <v>51</v>
      </c>
      <c r="C58" s="334">
        <v>25</v>
      </c>
      <c r="D58" s="334">
        <v>491777.85586000001</v>
      </c>
      <c r="E58" s="334">
        <v>62</v>
      </c>
      <c r="F58" s="334">
        <v>1867802.591</v>
      </c>
    </row>
    <row r="59" spans="1:6">
      <c r="A59" s="348" t="s">
        <v>49</v>
      </c>
      <c r="B59" s="348" t="s">
        <v>52</v>
      </c>
      <c r="C59" s="334">
        <v>172</v>
      </c>
      <c r="D59" s="334">
        <v>5139737.5434999997</v>
      </c>
      <c r="E59" s="334">
        <v>510</v>
      </c>
      <c r="F59" s="334">
        <v>9463785.6350999996</v>
      </c>
    </row>
    <row r="60" spans="1:6">
      <c r="A60" s="348" t="s">
        <v>49</v>
      </c>
      <c r="B60" s="348" t="s">
        <v>53</v>
      </c>
      <c r="C60" s="334">
        <v>149</v>
      </c>
      <c r="D60" s="334">
        <v>11776329.829</v>
      </c>
      <c r="E60" s="334">
        <v>225</v>
      </c>
      <c r="F60" s="334">
        <v>7637882.5336999996</v>
      </c>
    </row>
    <row r="61" spans="1:6">
      <c r="A61" s="348" t="s">
        <v>49</v>
      </c>
      <c r="B61" s="348" t="s">
        <v>54</v>
      </c>
      <c r="C61" s="334">
        <v>265</v>
      </c>
      <c r="D61" s="334">
        <v>10987870.731000001</v>
      </c>
      <c r="E61" s="334">
        <v>1421</v>
      </c>
      <c r="F61" s="334">
        <v>10491927.105</v>
      </c>
    </row>
    <row r="62" spans="1:6">
      <c r="A62" s="348" t="s">
        <v>49</v>
      </c>
      <c r="B62" s="348" t="s">
        <v>55</v>
      </c>
      <c r="C62" s="334">
        <v>3</v>
      </c>
      <c r="D62" s="334">
        <v>178311.96896</v>
      </c>
      <c r="E62" s="334">
        <v>11</v>
      </c>
      <c r="F62" s="334">
        <v>241195.55567999999</v>
      </c>
    </row>
    <row r="63" spans="1:6">
      <c r="A63" s="348" t="s">
        <v>49</v>
      </c>
      <c r="B63" s="348" t="s">
        <v>29</v>
      </c>
      <c r="C63" s="334">
        <v>94</v>
      </c>
      <c r="D63" s="334">
        <v>11995267.979</v>
      </c>
      <c r="E63" s="334">
        <v>93</v>
      </c>
      <c r="F63" s="334">
        <v>3671069.5849000001</v>
      </c>
    </row>
    <row r="64" spans="1:6">
      <c r="A64" s="348" t="s">
        <v>56</v>
      </c>
      <c r="B64" s="348" t="s">
        <v>57</v>
      </c>
      <c r="C64" s="334">
        <v>0</v>
      </c>
      <c r="D64" s="334">
        <v>0</v>
      </c>
      <c r="E64" s="334">
        <v>0</v>
      </c>
      <c r="F64" s="334">
        <v>0</v>
      </c>
    </row>
    <row r="65" spans="1:6">
      <c r="A65" s="348" t="s">
        <v>56</v>
      </c>
      <c r="B65" s="348" t="s">
        <v>29</v>
      </c>
      <c r="C65" s="334">
        <v>4</v>
      </c>
      <c r="D65" s="334">
        <v>96265.082968000002</v>
      </c>
      <c r="E65" s="334">
        <v>2</v>
      </c>
      <c r="F65" s="334">
        <v>3308.0337456000002</v>
      </c>
    </row>
    <row r="66" spans="1:6">
      <c r="A66" s="348" t="s">
        <v>56</v>
      </c>
      <c r="B66" s="348" t="s">
        <v>58</v>
      </c>
      <c r="C66" s="334">
        <v>0</v>
      </c>
      <c r="D66" s="334">
        <v>0</v>
      </c>
      <c r="E66" s="334">
        <v>22</v>
      </c>
      <c r="F66" s="334">
        <v>833503.86207000003</v>
      </c>
    </row>
    <row r="67" spans="1:6">
      <c r="A67" s="355" t="s">
        <v>56</v>
      </c>
      <c r="B67" s="355" t="s">
        <v>59</v>
      </c>
      <c r="C67" s="334">
        <v>0</v>
      </c>
      <c r="D67" s="334">
        <v>0</v>
      </c>
      <c r="E67" s="334">
        <v>0</v>
      </c>
      <c r="F67" s="334">
        <v>0</v>
      </c>
    </row>
    <row r="68" spans="1:6">
      <c r="A68" s="341" t="s">
        <v>56</v>
      </c>
      <c r="B68" s="341" t="s">
        <v>60</v>
      </c>
      <c r="C68" s="334">
        <v>0</v>
      </c>
      <c r="D68" s="334">
        <v>0</v>
      </c>
      <c r="E68" s="334">
        <v>13</v>
      </c>
      <c r="F68" s="334">
        <v>2061145.6155999999</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70" t="s">
        <v>684</v>
      </c>
      <c r="D72" s="361">
        <v>2015</v>
      </c>
      <c r="E72" s="361">
        <v>2020</v>
      </c>
      <c r="F72" s="347"/>
    </row>
    <row r="73" spans="1:6">
      <c r="A73" s="348" t="s">
        <v>64</v>
      </c>
      <c r="B73" s="348" t="s">
        <v>666</v>
      </c>
      <c r="C73" s="1271" t="s">
        <v>668</v>
      </c>
      <c r="D73" s="476">
        <v>42770375</v>
      </c>
      <c r="E73" s="476">
        <v>52841725.716376945</v>
      </c>
    </row>
    <row r="74" spans="1:6">
      <c r="A74" s="348" t="s">
        <v>64</v>
      </c>
      <c r="B74" s="348" t="s">
        <v>667</v>
      </c>
      <c r="C74" s="1271" t="s">
        <v>669</v>
      </c>
      <c r="D74" s="476">
        <v>4831073.1447760938</v>
      </c>
      <c r="E74" s="476">
        <v>5554643.079680942</v>
      </c>
    </row>
    <row r="75" spans="1:6">
      <c r="A75" s="348" t="s">
        <v>65</v>
      </c>
      <c r="B75" s="348" t="s">
        <v>666</v>
      </c>
      <c r="C75" s="1271" t="s">
        <v>670</v>
      </c>
      <c r="D75" s="476">
        <v>4077476</v>
      </c>
      <c r="E75" s="476">
        <v>5192836.465523296</v>
      </c>
    </row>
    <row r="76" spans="1:6">
      <c r="A76" s="348" t="s">
        <v>65</v>
      </c>
      <c r="B76" s="348" t="s">
        <v>667</v>
      </c>
      <c r="C76" s="1271" t="s">
        <v>671</v>
      </c>
      <c r="D76" s="476">
        <v>110774.14477609415</v>
      </c>
      <c r="E76" s="476">
        <v>139234.25054956574</v>
      </c>
    </row>
    <row r="77" spans="1:6">
      <c r="A77" s="348" t="s">
        <v>66</v>
      </c>
      <c r="B77" s="348" t="s">
        <v>666</v>
      </c>
      <c r="C77" s="1271" t="s">
        <v>672</v>
      </c>
      <c r="D77" s="476">
        <v>52560373</v>
      </c>
      <c r="E77" s="476">
        <v>52106236.985623851</v>
      </c>
    </row>
    <row r="78" spans="1:6">
      <c r="A78" s="341" t="s">
        <v>66</v>
      </c>
      <c r="B78" s="341" t="s">
        <v>667</v>
      </c>
      <c r="C78" s="341" t="s">
        <v>673</v>
      </c>
      <c r="D78" s="1272">
        <v>16080407</v>
      </c>
      <c r="E78" s="1272">
        <v>16627612.533785988</v>
      </c>
      <c r="F78" s="342"/>
    </row>
    <row r="79" spans="1:6">
      <c r="A79" s="362"/>
      <c r="B79" s="362"/>
    </row>
    <row r="80" spans="1:6" ht="15.75" thickBot="1">
      <c r="A80" s="362"/>
      <c r="B80" s="362"/>
    </row>
    <row r="81" spans="1:6" ht="20.25" thickBot="1">
      <c r="A81" s="336" t="s">
        <v>334</v>
      </c>
      <c r="B81" s="363" t="s">
        <v>394</v>
      </c>
      <c r="C81" s="337" t="s">
        <v>851</v>
      </c>
      <c r="D81" s="337"/>
      <c r="E81" s="337"/>
      <c r="F81" s="344"/>
    </row>
    <row r="82" spans="1:6" ht="16.5" thickTop="1" thickBot="1">
      <c r="A82" s="345" t="s">
        <v>335</v>
      </c>
      <c r="B82" s="361">
        <v>2015</v>
      </c>
      <c r="C82" s="361">
        <v>2020</v>
      </c>
      <c r="D82" s="346"/>
      <c r="E82" s="346"/>
      <c r="F82" s="347"/>
    </row>
    <row r="83" spans="1:6">
      <c r="A83" s="348" t="s">
        <v>336</v>
      </c>
      <c r="B83" s="476">
        <v>184799.7104478117</v>
      </c>
      <c r="C83" s="476">
        <v>184799.7104478117</v>
      </c>
    </row>
    <row r="84" spans="1:6">
      <c r="A84" s="341" t="s">
        <v>337</v>
      </c>
      <c r="B84" s="1272">
        <v>233781.62309825228</v>
      </c>
      <c r="C84" s="1272">
        <v>233781.62309825228</v>
      </c>
      <c r="D84" s="342"/>
      <c r="E84" s="342"/>
      <c r="F84" s="342"/>
    </row>
    <row r="85" spans="1:6">
      <c r="A85" s="362"/>
      <c r="B85" s="364"/>
    </row>
    <row r="86" spans="1:6" ht="15.75" thickBot="1">
      <c r="A86" s="343"/>
    </row>
    <row r="87" spans="1:6" ht="20.25" thickBot="1">
      <c r="A87" s="336" t="s">
        <v>67</v>
      </c>
      <c r="B87" s="337" t="s">
        <v>394</v>
      </c>
      <c r="C87" s="337" t="s">
        <v>852</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73">
        <v>0</v>
      </c>
    </row>
    <row r="91" spans="1:6">
      <c r="A91" s="348" t="s">
        <v>68</v>
      </c>
      <c r="B91" s="334">
        <v>1144.9601845625255</v>
      </c>
    </row>
    <row r="92" spans="1:6">
      <c r="A92" s="341" t="s">
        <v>69</v>
      </c>
      <c r="B92" s="342">
        <v>425.17453874667007</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2669</v>
      </c>
    </row>
    <row r="98" spans="1:6">
      <c r="A98" s="348" t="s">
        <v>72</v>
      </c>
      <c r="B98" s="334">
        <v>1</v>
      </c>
    </row>
    <row r="99" spans="1:6">
      <c r="A99" s="348" t="s">
        <v>73</v>
      </c>
      <c r="B99" s="334">
        <v>41</v>
      </c>
    </row>
    <row r="100" spans="1:6">
      <c r="A100" s="348" t="s">
        <v>74</v>
      </c>
      <c r="B100" s="334">
        <v>983</v>
      </c>
    </row>
    <row r="101" spans="1:6">
      <c r="A101" s="348" t="s">
        <v>75</v>
      </c>
      <c r="B101" s="334">
        <v>41</v>
      </c>
    </row>
    <row r="102" spans="1:6">
      <c r="A102" s="348" t="s">
        <v>76</v>
      </c>
      <c r="B102" s="334">
        <v>133</v>
      </c>
    </row>
    <row r="103" spans="1:6">
      <c r="A103" s="348" t="s">
        <v>77</v>
      </c>
      <c r="B103" s="334">
        <v>51</v>
      </c>
    </row>
    <row r="104" spans="1:6">
      <c r="A104" s="348" t="s">
        <v>78</v>
      </c>
      <c r="B104" s="334">
        <v>586</v>
      </c>
    </row>
    <row r="105" spans="1:6">
      <c r="A105" s="341" t="s">
        <v>79</v>
      </c>
      <c r="B105" s="341">
        <v>1</v>
      </c>
      <c r="C105" s="342"/>
      <c r="D105" s="342"/>
      <c r="E105" s="342"/>
      <c r="F105" s="342"/>
    </row>
    <row r="106" spans="1:6">
      <c r="A106" s="343"/>
    </row>
    <row r="107" spans="1:6" ht="15.75" thickBot="1">
      <c r="A107" s="343"/>
    </row>
    <row r="108" spans="1:6" ht="20.25" thickBot="1">
      <c r="A108" s="336" t="s">
        <v>648</v>
      </c>
      <c r="B108" s="337" t="s">
        <v>394</v>
      </c>
      <c r="C108" s="337" t="s">
        <v>853</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74" t="s">
        <v>650</v>
      </c>
      <c r="B111" s="1275">
        <v>0</v>
      </c>
      <c r="C111" s="1275"/>
      <c r="D111" s="1275"/>
      <c r="E111" s="1275"/>
      <c r="F111" s="1275"/>
    </row>
    <row r="112" spans="1:6">
      <c r="A112" s="348"/>
    </row>
    <row r="113" spans="1:6" ht="15.75" thickBot="1">
      <c r="A113" s="341"/>
      <c r="B113" s="342"/>
      <c r="C113" s="342"/>
      <c r="D113" s="342"/>
      <c r="E113" s="342"/>
      <c r="F113" s="342"/>
    </row>
    <row r="114" spans="1:6" ht="20.25" thickBot="1">
      <c r="A114" s="336" t="s">
        <v>80</v>
      </c>
      <c r="B114" s="337" t="s">
        <v>394</v>
      </c>
      <c r="C114" s="337" t="s">
        <v>854</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v>
      </c>
      <c r="C123" s="334">
        <v>8</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853</v>
      </c>
      <c r="D127" s="337"/>
      <c r="E127" s="337"/>
      <c r="F127" s="344"/>
    </row>
    <row r="128" spans="1:6" ht="16.5" thickTop="1" thickBot="1">
      <c r="A128" s="345" t="s">
        <v>4</v>
      </c>
      <c r="B128" s="346" t="s">
        <v>5</v>
      </c>
      <c r="C128" s="346"/>
      <c r="D128" s="346"/>
      <c r="E128" s="346"/>
      <c r="F128" s="347"/>
    </row>
    <row r="129" spans="1:6">
      <c r="A129" s="348" t="s">
        <v>294</v>
      </c>
      <c r="B129" s="334">
        <v>59</v>
      </c>
    </row>
    <row r="130" spans="1:6">
      <c r="A130" s="348" t="s">
        <v>295</v>
      </c>
      <c r="B130" s="334">
        <v>5</v>
      </c>
    </row>
    <row r="131" spans="1:6">
      <c r="A131" s="348" t="s">
        <v>296</v>
      </c>
      <c r="B131" s="334">
        <v>1</v>
      </c>
    </row>
    <row r="132" spans="1:6">
      <c r="A132" s="341" t="s">
        <v>297</v>
      </c>
      <c r="B132" s="342">
        <v>3</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72734.08828082899</v>
      </c>
      <c r="C3" s="43" t="s">
        <v>170</v>
      </c>
      <c r="D3" s="43"/>
      <c r="E3" s="154"/>
      <c r="F3" s="43"/>
      <c r="G3" s="43"/>
      <c r="H3" s="43"/>
      <c r="I3" s="43"/>
      <c r="J3" s="43"/>
      <c r="K3" s="96"/>
    </row>
    <row r="4" spans="1:11">
      <c r="A4" s="383" t="s">
        <v>171</v>
      </c>
      <c r="B4" s="49">
        <f>IF(ISERROR('SEAP template'!B69),0,'SEAP template'!B69)</f>
        <v>1570.1347233091956</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772</v>
      </c>
      <c r="G6" s="43" t="s">
        <v>786</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0.21622920019961542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5">
        <v>2015</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474</v>
      </c>
      <c r="B2" s="1182"/>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3" t="s">
        <v>194</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1051.299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1051.299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0.21622920019961542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227.32154194065549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3" t="s">
        <v>155</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26776.603927</v>
      </c>
      <c r="C5" s="17">
        <f>IF(ISERROR('Eigen informatie GS &amp; warmtenet'!B57),0,'Eigen informatie GS &amp; warmtenet'!B57)</f>
        <v>0</v>
      </c>
      <c r="D5" s="30">
        <f>(SUM(HH_hh_gas_kWh,HH_rest_gas_kWh)/1000)*0.902</f>
        <v>45496.415076728008</v>
      </c>
      <c r="E5" s="17">
        <f>B46*B57</f>
        <v>1171.1393636620819</v>
      </c>
      <c r="F5" s="17">
        <f>B51*B62</f>
        <v>0</v>
      </c>
      <c r="G5" s="18"/>
      <c r="H5" s="17"/>
      <c r="I5" s="17"/>
      <c r="J5" s="17">
        <f>B50*B61+C50*C61</f>
        <v>0</v>
      </c>
      <c r="K5" s="17"/>
      <c r="L5" s="17"/>
      <c r="M5" s="17"/>
      <c r="N5" s="17">
        <f>B48*B59+C48*C59</f>
        <v>3326.1130415681596</v>
      </c>
      <c r="O5" s="17">
        <f>B69*B70*B71</f>
        <v>106.30666666666667</v>
      </c>
      <c r="P5" s="17">
        <f>B77*B78*B79/1000-B77*B78*B79/1000/B80</f>
        <v>76.266666666666666</v>
      </c>
    </row>
    <row r="6" spans="1:16">
      <c r="A6" s="16" t="s">
        <v>624</v>
      </c>
      <c r="B6" s="843">
        <f>kWh_PV_kleiner_dan_10kW</f>
        <v>1144.9601845625255</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27921.564111562526</v>
      </c>
      <c r="C8" s="21">
        <f>C5</f>
        <v>0</v>
      </c>
      <c r="D8" s="21">
        <f>D5</f>
        <v>45496.415076728008</v>
      </c>
      <c r="E8" s="21">
        <f>E5</f>
        <v>1171.1393636620819</v>
      </c>
      <c r="F8" s="21">
        <f>F5</f>
        <v>0</v>
      </c>
      <c r="G8" s="21"/>
      <c r="H8" s="21"/>
      <c r="I8" s="21"/>
      <c r="J8" s="21">
        <f>J5</f>
        <v>0</v>
      </c>
      <c r="K8" s="21"/>
      <c r="L8" s="21">
        <f>L5</f>
        <v>0</v>
      </c>
      <c r="M8" s="21">
        <f>M5</f>
        <v>0</v>
      </c>
      <c r="N8" s="21">
        <f>N5</f>
        <v>3326.1130415681596</v>
      </c>
      <c r="O8" s="21">
        <f>O5</f>
        <v>106.30666666666667</v>
      </c>
      <c r="P8" s="21">
        <f>P5</f>
        <v>76.266666666666666</v>
      </c>
    </row>
    <row r="9" spans="1:16">
      <c r="B9" s="19"/>
      <c r="C9" s="19"/>
      <c r="D9" s="258"/>
      <c r="E9" s="19"/>
      <c r="F9" s="19"/>
      <c r="G9" s="19"/>
      <c r="H9" s="19"/>
      <c r="I9" s="19"/>
      <c r="J9" s="19"/>
      <c r="K9" s="19"/>
      <c r="L9" s="19"/>
      <c r="M9" s="19"/>
      <c r="N9" s="19"/>
      <c r="O9" s="19"/>
      <c r="P9" s="19"/>
    </row>
    <row r="10" spans="1:16">
      <c r="A10" s="24" t="s">
        <v>214</v>
      </c>
      <c r="B10" s="25">
        <f ca="1">'EF ele_warmte'!B12</f>
        <v>0.21622920019961542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6037.4574761654503</v>
      </c>
      <c r="C12" s="23">
        <f ca="1">C10*C8</f>
        <v>0</v>
      </c>
      <c r="D12" s="23">
        <f>D8*D10</f>
        <v>9190.2758454990581</v>
      </c>
      <c r="E12" s="23">
        <f>E10*E8</f>
        <v>265.8486355512926</v>
      </c>
      <c r="F12" s="23">
        <f>F10*F8</f>
        <v>0</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2669</v>
      </c>
      <c r="C18" s="166" t="s">
        <v>111</v>
      </c>
      <c r="D18" s="228"/>
      <c r="E18" s="15"/>
    </row>
    <row r="19" spans="1:7">
      <c r="A19" s="171" t="s">
        <v>72</v>
      </c>
      <c r="B19" s="37">
        <f>aantalw2001_ander</f>
        <v>1</v>
      </c>
      <c r="C19" s="166" t="s">
        <v>111</v>
      </c>
      <c r="D19" s="229"/>
      <c r="E19" s="15"/>
    </row>
    <row r="20" spans="1:7">
      <c r="A20" s="171" t="s">
        <v>73</v>
      </c>
      <c r="B20" s="37">
        <f>aantalw2001_propaan</f>
        <v>41</v>
      </c>
      <c r="C20" s="167">
        <f>IF(ISERROR(B20/SUM($B$20,$B$21,$B$22)*100),0,B20/SUM($B$20,$B$21,$B$22)*100)</f>
        <v>3.8497652582159625</v>
      </c>
      <c r="D20" s="229"/>
      <c r="E20" s="15"/>
    </row>
    <row r="21" spans="1:7">
      <c r="A21" s="171" t="s">
        <v>74</v>
      </c>
      <c r="B21" s="37">
        <f>aantalw2001_elektriciteit</f>
        <v>983</v>
      </c>
      <c r="C21" s="167">
        <f>IF(ISERROR(B21/SUM($B$20,$B$21,$B$22)*100),0,B21/SUM($B$20,$B$21,$B$22)*100)</f>
        <v>92.300469483568065</v>
      </c>
      <c r="D21" s="229"/>
      <c r="E21" s="15"/>
    </row>
    <row r="22" spans="1:7">
      <c r="A22" s="171" t="s">
        <v>75</v>
      </c>
      <c r="B22" s="37">
        <f>aantalw2001_hout</f>
        <v>41</v>
      </c>
      <c r="C22" s="167">
        <f>IF(ISERROR(B22/SUM($B$20,$B$21,$B$22)*100),0,B22/SUM($B$20,$B$21,$B$22)*100)</f>
        <v>3.8497652582159625</v>
      </c>
      <c r="D22" s="229"/>
      <c r="E22" s="15"/>
    </row>
    <row r="23" spans="1:7">
      <c r="A23" s="171" t="s">
        <v>76</v>
      </c>
      <c r="B23" s="37">
        <f>aantalw2001_niet_gespec</f>
        <v>133</v>
      </c>
      <c r="C23" s="166" t="s">
        <v>111</v>
      </c>
      <c r="D23" s="228"/>
      <c r="E23" s="15"/>
    </row>
    <row r="24" spans="1:7">
      <c r="A24" s="171" t="s">
        <v>77</v>
      </c>
      <c r="B24" s="37">
        <f>aantalw2001_steenkool</f>
        <v>51</v>
      </c>
      <c r="C24" s="166" t="s">
        <v>111</v>
      </c>
      <c r="D24" s="229"/>
      <c r="E24" s="15"/>
    </row>
    <row r="25" spans="1:7">
      <c r="A25" s="171" t="s">
        <v>78</v>
      </c>
      <c r="B25" s="37">
        <f>aantalw2001_stookolie</f>
        <v>586</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698</v>
      </c>
      <c r="B28" s="37">
        <f>aantalHuishoudens2011</f>
        <v>5817</v>
      </c>
      <c r="C28" s="36"/>
      <c r="D28" s="228"/>
    </row>
    <row r="29" spans="1:7" s="15" customFormat="1">
      <c r="A29" s="230" t="s">
        <v>699</v>
      </c>
      <c r="B29" s="37">
        <f>SUM(HH_hh_gas_aantal,HH_rest_gas_aantal)</f>
        <v>4468</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4468</v>
      </c>
      <c r="C32" s="167">
        <f>IF(ISERROR(B32/SUM($B$32,$B$34,$B$35,$B$36,$B$38,$B$39)*100),0,B32/SUM($B$32,$B$34,$B$35,$B$36,$B$38,$B$39)*100)</f>
        <v>76.862205401685884</v>
      </c>
      <c r="D32" s="233"/>
      <c r="G32" s="15"/>
    </row>
    <row r="33" spans="1:7">
      <c r="A33" s="171" t="s">
        <v>72</v>
      </c>
      <c r="B33" s="34" t="s">
        <v>111</v>
      </c>
      <c r="C33" s="167"/>
      <c r="D33" s="233"/>
      <c r="G33" s="15"/>
    </row>
    <row r="34" spans="1:7">
      <c r="A34" s="171" t="s">
        <v>73</v>
      </c>
      <c r="B34" s="33">
        <f>IF((($B$28-$B$32-$B$39-$B$77-$B$38)*C20/100)&lt;0,0,($B$28-$B$32-$B$39-$B$77-$B$38)*C20/100)</f>
        <v>51.779342723004696</v>
      </c>
      <c r="C34" s="167">
        <f>IF(ISERROR(B34/SUM($B$32,$B$34,$B$35,$B$36,$B$38,$B$39)*100),0,B34/SUM($B$32,$B$34,$B$35,$B$36,$B$38,$B$39)*100)</f>
        <v>0.89075077796326696</v>
      </c>
      <c r="D34" s="233"/>
      <c r="G34" s="15"/>
    </row>
    <row r="35" spans="1:7">
      <c r="A35" s="171" t="s">
        <v>74</v>
      </c>
      <c r="B35" s="33">
        <f>IF((($B$28-$B$32-$B$39-$B$77-$B$38)*C21/100)&lt;0,0,($B$28-$B$32-$B$39-$B$77-$B$38)*C21/100)</f>
        <v>1241.4413145539904</v>
      </c>
      <c r="C35" s="167">
        <f>IF(ISERROR(B35/SUM($B$32,$B$34,$B$35,$B$36,$B$38,$B$39)*100),0,B35/SUM($B$32,$B$34,$B$35,$B$36,$B$38,$B$39)*100)</f>
        <v>21.356293042387588</v>
      </c>
      <c r="D35" s="233"/>
      <c r="G35" s="15"/>
    </row>
    <row r="36" spans="1:7">
      <c r="A36" s="171" t="s">
        <v>75</v>
      </c>
      <c r="B36" s="33">
        <f>IF((($B$28-$B$32-$B$39-$B$77-$B$38)*C22/100)&lt;0,0,($B$28-$B$32-$B$39-$B$77-$B$38)*C22/100)</f>
        <v>51.779342723004696</v>
      </c>
      <c r="C36" s="167">
        <f>IF(ISERROR(B36/SUM($B$32,$B$34,$B$35,$B$36,$B$38,$B$39)*100),0,B36/SUM($B$32,$B$34,$B$35,$B$36,$B$38,$B$39)*100)</f>
        <v>0.89075077796326696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4468</v>
      </c>
      <c r="C44" s="34" t="s">
        <v>111</v>
      </c>
      <c r="D44" s="174"/>
    </row>
    <row r="45" spans="1:7">
      <c r="A45" s="171" t="s">
        <v>72</v>
      </c>
      <c r="B45" s="33" t="str">
        <f t="shared" si="0"/>
        <v>-</v>
      </c>
      <c r="C45" s="34" t="s">
        <v>111</v>
      </c>
      <c r="D45" s="174"/>
    </row>
    <row r="46" spans="1:7">
      <c r="A46" s="171" t="s">
        <v>73</v>
      </c>
      <c r="B46" s="33">
        <f t="shared" si="0"/>
        <v>51.779342723004696</v>
      </c>
      <c r="C46" s="34" t="s">
        <v>111</v>
      </c>
      <c r="D46" s="174"/>
    </row>
    <row r="47" spans="1:7">
      <c r="A47" s="171" t="s">
        <v>74</v>
      </c>
      <c r="B47" s="33">
        <f t="shared" si="0"/>
        <v>1241.4413145539904</v>
      </c>
      <c r="C47" s="34" t="s">
        <v>111</v>
      </c>
      <c r="D47" s="174"/>
    </row>
    <row r="48" spans="1:7">
      <c r="A48" s="171" t="s">
        <v>75</v>
      </c>
      <c r="B48" s="33">
        <f t="shared" si="0"/>
        <v>51.779342723004696</v>
      </c>
      <c r="C48" s="33">
        <f>B48*10</f>
        <v>517.79342723004697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68</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156</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36546.212646079992</v>
      </c>
      <c r="C5" s="17">
        <f>IF(ISERROR('Eigen informatie GS &amp; warmtenet'!B58),0,'Eigen informatie GS &amp; warmtenet'!B58)</f>
        <v>0</v>
      </c>
      <c r="D5" s="30">
        <f>SUM(D6:D12)</f>
        <v>39786.336005561643</v>
      </c>
      <c r="E5" s="17">
        <f>SUM(E6:E12)</f>
        <v>758.88063385073451</v>
      </c>
      <c r="F5" s="17">
        <f>SUM(F6:F12)</f>
        <v>9962.2933523526663</v>
      </c>
      <c r="G5" s="18"/>
      <c r="H5" s="17"/>
      <c r="I5" s="17"/>
      <c r="J5" s="17">
        <f>SUM(J6:J12)</f>
        <v>0</v>
      </c>
      <c r="K5" s="17"/>
      <c r="L5" s="17"/>
      <c r="M5" s="17"/>
      <c r="N5" s="17">
        <f>SUM(N6:N12)</f>
        <v>2870.110045708459</v>
      </c>
      <c r="O5" s="17">
        <f>B38*B39*B40</f>
        <v>7.8166666666666664</v>
      </c>
      <c r="P5" s="17">
        <f>B46*B47*B48/1000-B46*B47*B48/1000/B49</f>
        <v>19.066666666666666</v>
      </c>
      <c r="R5" s="32"/>
    </row>
    <row r="6" spans="1:18">
      <c r="A6" s="32" t="s">
        <v>54</v>
      </c>
      <c r="B6" s="37">
        <f>B26</f>
        <v>10491.927105000001</v>
      </c>
      <c r="C6" s="33"/>
      <c r="D6" s="37">
        <f>IF(ISERROR(TER_kantoor_gas_kWh/1000),0,TER_kantoor_gas_kWh/1000)*0.902</f>
        <v>9911.0593993620005</v>
      </c>
      <c r="E6" s="33">
        <f>$C$26*'E Balans VL '!I12/100/3.6*1000000</f>
        <v>137.35224998458523</v>
      </c>
      <c r="F6" s="33">
        <f>$C$26*('E Balans VL '!L12+'E Balans VL '!N12)/100/3.6*1000000</f>
        <v>2675.332992250298</v>
      </c>
      <c r="G6" s="34"/>
      <c r="H6" s="33"/>
      <c r="I6" s="33"/>
      <c r="J6" s="33">
        <f>$C$26*('E Balans VL '!D12+'E Balans VL '!E12)/100/3.6*1000000</f>
        <v>0</v>
      </c>
      <c r="K6" s="33"/>
      <c r="L6" s="33"/>
      <c r="M6" s="33"/>
      <c r="N6" s="33">
        <f>$C$26*'E Balans VL '!Y12/100/3.6*1000000</f>
        <v>10.527258107548999</v>
      </c>
      <c r="O6" s="33"/>
      <c r="P6" s="33"/>
      <c r="R6" s="32"/>
    </row>
    <row r="7" spans="1:18">
      <c r="A7" s="32" t="s">
        <v>53</v>
      </c>
      <c r="B7" s="37">
        <f t="shared" ref="B7:B12" si="0">B27</f>
        <v>7637.8825336999998</v>
      </c>
      <c r="C7" s="33"/>
      <c r="D7" s="37">
        <f>IF(ISERROR(TER_horeca_gas_kWh/1000),0,TER_horeca_gas_kWh/1000)*0.902</f>
        <v>10622.249505758</v>
      </c>
      <c r="E7" s="33">
        <f>$C$27*'E Balans VL '!I9/100/3.6*1000000</f>
        <v>252.76745218455125</v>
      </c>
      <c r="F7" s="33">
        <f>$C$27*('E Balans VL '!L9+'E Balans VL '!N9)/100/3.6*1000000</f>
        <v>3284.2602175794755</v>
      </c>
      <c r="G7" s="34"/>
      <c r="H7" s="33"/>
      <c r="I7" s="33"/>
      <c r="J7" s="33">
        <f>$C$27*('E Balans VL '!D9+'E Balans VL '!E9)/100/3.6*1000000</f>
        <v>0</v>
      </c>
      <c r="K7" s="33"/>
      <c r="L7" s="33"/>
      <c r="M7" s="33"/>
      <c r="N7" s="33">
        <f>$C$27*'E Balans VL '!Y9/100/3.6*1000000</f>
        <v>1.8385492400878041</v>
      </c>
      <c r="O7" s="33"/>
      <c r="P7" s="33"/>
      <c r="R7" s="32"/>
    </row>
    <row r="8" spans="1:18">
      <c r="A8" s="6" t="s">
        <v>52</v>
      </c>
      <c r="B8" s="37">
        <f t="shared" si="0"/>
        <v>9463.7856350999991</v>
      </c>
      <c r="C8" s="33"/>
      <c r="D8" s="37">
        <f>IF(ISERROR(TER_handel_gas_kWh/1000),0,TER_handel_gas_kWh/1000)*0.902</f>
        <v>4636.0432642369997</v>
      </c>
      <c r="E8" s="33">
        <f>$C$28*'E Balans VL '!I13/100/3.6*1000000</f>
        <v>298.69153487777464</v>
      </c>
      <c r="F8" s="33">
        <f>$C$28*('E Balans VL '!L13+'E Balans VL '!N13)/100/3.6*1000000</f>
        <v>1856.0150099617856</v>
      </c>
      <c r="G8" s="34"/>
      <c r="H8" s="33"/>
      <c r="I8" s="33"/>
      <c r="J8" s="33">
        <f>$C$28*('E Balans VL '!D13+'E Balans VL '!E13)/100/3.6*1000000</f>
        <v>0</v>
      </c>
      <c r="K8" s="33"/>
      <c r="L8" s="33"/>
      <c r="M8" s="33"/>
      <c r="N8" s="33">
        <f>$C$28*'E Balans VL '!Y13/100/3.6*1000000</f>
        <v>11.23167617743907</v>
      </c>
      <c r="O8" s="33"/>
      <c r="P8" s="33"/>
      <c r="R8" s="32"/>
    </row>
    <row r="9" spans="1:18">
      <c r="A9" s="32" t="s">
        <v>51</v>
      </c>
      <c r="B9" s="37">
        <f t="shared" si="0"/>
        <v>1867.8025910000001</v>
      </c>
      <c r="C9" s="33"/>
      <c r="D9" s="37">
        <f>IF(ISERROR(TER_gezond_gas_kWh/1000),0,TER_gezond_gas_kWh/1000)*0.902</f>
        <v>443.58362598572</v>
      </c>
      <c r="E9" s="33">
        <f>$C$29*'E Balans VL '!I10/100/3.6*1000000</f>
        <v>0.23913337300041054</v>
      </c>
      <c r="F9" s="33">
        <f>$C$29*('E Balans VL '!L10+'E Balans VL '!N10)/100/3.6*1000000</f>
        <v>389.14156648635424</v>
      </c>
      <c r="G9" s="34"/>
      <c r="H9" s="33"/>
      <c r="I9" s="33"/>
      <c r="J9" s="33">
        <f>$C$29*('E Balans VL '!D10+'E Balans VL '!E10)/100/3.6*1000000</f>
        <v>0</v>
      </c>
      <c r="K9" s="33"/>
      <c r="L9" s="33"/>
      <c r="M9" s="33"/>
      <c r="N9" s="33">
        <f>$C$29*'E Balans VL '!Y10/100/3.6*1000000</f>
        <v>21.938224270862737</v>
      </c>
      <c r="O9" s="33"/>
      <c r="P9" s="33"/>
      <c r="R9" s="32"/>
    </row>
    <row r="10" spans="1:18">
      <c r="A10" s="32" t="s">
        <v>50</v>
      </c>
      <c r="B10" s="37">
        <f t="shared" si="0"/>
        <v>3172.5496407000001</v>
      </c>
      <c r="C10" s="33"/>
      <c r="D10" s="37">
        <f>IF(ISERROR(TER_ander_gas_kWh/1000),0,TER_ander_gas_kWh/1000)*0.902</f>
        <v>3192.8310971589999</v>
      </c>
      <c r="E10" s="33">
        <f>$C$30*'E Balans VL '!I14/100/3.6*1000000</f>
        <v>4.7707685851113393</v>
      </c>
      <c r="F10" s="33">
        <f>$C$30*('E Balans VL '!L14+'E Balans VL '!N14)/100/3.6*1000000</f>
        <v>700.3966948074692</v>
      </c>
      <c r="G10" s="34"/>
      <c r="H10" s="33"/>
      <c r="I10" s="33"/>
      <c r="J10" s="33">
        <f>$C$30*('E Balans VL '!D14+'E Balans VL '!E14)/100/3.6*1000000</f>
        <v>0</v>
      </c>
      <c r="K10" s="33"/>
      <c r="L10" s="33"/>
      <c r="M10" s="33"/>
      <c r="N10" s="33">
        <f>$C$30*'E Balans VL '!Y14/100/3.6*1000000</f>
        <v>2500.1826214124967</v>
      </c>
      <c r="O10" s="33"/>
      <c r="P10" s="33"/>
      <c r="R10" s="32"/>
    </row>
    <row r="11" spans="1:18">
      <c r="A11" s="32" t="s">
        <v>55</v>
      </c>
      <c r="B11" s="37">
        <f t="shared" si="0"/>
        <v>241.19555567999998</v>
      </c>
      <c r="C11" s="33"/>
      <c r="D11" s="37">
        <f>IF(ISERROR(TER_onderwijs_gas_kWh/1000),0,TER_onderwijs_gas_kWh/1000)*0.902</f>
        <v>160.83739600192001</v>
      </c>
      <c r="E11" s="33">
        <f>$C$31*'E Balans VL '!I11/100/3.6*1000000</f>
        <v>0.42476558567017997</v>
      </c>
      <c r="F11" s="33">
        <f>$C$31*('E Balans VL '!L11+'E Balans VL '!N11)/100/3.6*1000000</f>
        <v>111.36435248381758</v>
      </c>
      <c r="G11" s="34"/>
      <c r="H11" s="33"/>
      <c r="I11" s="33"/>
      <c r="J11" s="33">
        <f>$C$31*('E Balans VL '!D11+'E Balans VL '!E11)/100/3.6*1000000</f>
        <v>0</v>
      </c>
      <c r="K11" s="33"/>
      <c r="L11" s="33"/>
      <c r="M11" s="33"/>
      <c r="N11" s="33">
        <f>$C$31*'E Balans VL '!Y11/100/3.6*1000000</f>
        <v>0.44935065567180554</v>
      </c>
      <c r="O11" s="33"/>
      <c r="P11" s="33"/>
      <c r="R11" s="32"/>
    </row>
    <row r="12" spans="1:18">
      <c r="A12" s="32" t="s">
        <v>260</v>
      </c>
      <c r="B12" s="37">
        <f t="shared" si="0"/>
        <v>3671.0695849000003</v>
      </c>
      <c r="C12" s="33"/>
      <c r="D12" s="37">
        <f>IF(ISERROR(TER_rest_gas_kWh/1000),0,TER_rest_gas_kWh/1000)*0.902</f>
        <v>10819.731717058001</v>
      </c>
      <c r="E12" s="33">
        <f>$C$32*'E Balans VL '!I8/100/3.6*1000000</f>
        <v>64.634729260041325</v>
      </c>
      <c r="F12" s="33">
        <f>$C$32*('E Balans VL '!L8+'E Balans VL '!N8)/100/3.6*1000000</f>
        <v>945.78251878346737</v>
      </c>
      <c r="G12" s="34"/>
      <c r="H12" s="33"/>
      <c r="I12" s="33"/>
      <c r="J12" s="33">
        <f>$C$32*('E Balans VL '!D8+'E Balans VL '!E8)/100/3.6*1000000</f>
        <v>0</v>
      </c>
      <c r="K12" s="33"/>
      <c r="L12" s="33"/>
      <c r="M12" s="33"/>
      <c r="N12" s="33">
        <f>$C$32*'E Balans VL '!Y8/100/3.6*1000000</f>
        <v>323.94236584435174</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36546.212646079992</v>
      </c>
      <c r="C16" s="21">
        <f t="shared" ca="1" si="1"/>
        <v>0</v>
      </c>
      <c r="D16" s="21">
        <f t="shared" ca="1" si="1"/>
        <v>39786.336005561643</v>
      </c>
      <c r="E16" s="21">
        <f t="shared" si="1"/>
        <v>758.88063385073451</v>
      </c>
      <c r="F16" s="21">
        <f t="shared" ca="1" si="1"/>
        <v>9962.2933523526663</v>
      </c>
      <c r="G16" s="21">
        <f t="shared" si="1"/>
        <v>0</v>
      </c>
      <c r="H16" s="21">
        <f t="shared" si="1"/>
        <v>0</v>
      </c>
      <c r="I16" s="21">
        <f t="shared" si="1"/>
        <v>0</v>
      </c>
      <c r="J16" s="21">
        <f t="shared" si="1"/>
        <v>0</v>
      </c>
      <c r="K16" s="21">
        <f t="shared" si="1"/>
        <v>0</v>
      </c>
      <c r="L16" s="21">
        <f t="shared" ca="1" si="1"/>
        <v>0</v>
      </c>
      <c r="M16" s="21">
        <f t="shared" si="1"/>
        <v>0</v>
      </c>
      <c r="N16" s="21">
        <f t="shared" ca="1" si="1"/>
        <v>2870.110045708459</v>
      </c>
      <c r="O16" s="21">
        <f>O5</f>
        <v>7.8166666666666664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0.21622920019961542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7902.3583307869476</v>
      </c>
      <c r="C20" s="23">
        <f t="shared" ref="C20:P20" ca="1" si="2">C16*C18</f>
        <v>0</v>
      </c>
      <c r="D20" s="23">
        <f t="shared" ca="1" si="2"/>
        <v>8036.839873123452</v>
      </c>
      <c r="E20" s="23">
        <f t="shared" si="2"/>
        <v>172.26590388411674</v>
      </c>
      <c r="F20" s="23">
        <f t="shared" ca="1" si="2"/>
        <v>2659.9323250781622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10491.927105000001</v>
      </c>
      <c r="C26" s="39">
        <f>IF(ISERROR(B26*3.6/1000000/'E Balans VL '!Z12*100),0,B26*3.6/1000000/'E Balans VL '!Z12*100)</f>
        <v>0.22474522944987721</v>
      </c>
      <c r="D26" s="237" t="s">
        <v>660</v>
      </c>
      <c r="F26" s="6"/>
    </row>
    <row r="27" spans="1:18">
      <c r="A27" s="231" t="s">
        <v>53</v>
      </c>
      <c r="B27" s="33">
        <f>IF(ISERROR(TER_horeca_ele_kWh/1000),0,TER_horeca_ele_kWh/1000)</f>
        <v>7637.8825336999998</v>
      </c>
      <c r="C27" s="39">
        <f>IF(ISERROR(B27*3.6/1000000/'E Balans VL '!Z9*100),0,B27*3.6/1000000/'E Balans VL '!Z9*100)</f>
        <v>0.61291352432072799</v>
      </c>
      <c r="D27" s="237" t="s">
        <v>660</v>
      </c>
      <c r="F27" s="6"/>
    </row>
    <row r="28" spans="1:18">
      <c r="A28" s="171" t="s">
        <v>52</v>
      </c>
      <c r="B28" s="33">
        <f>IF(ISERROR(TER_handel_ele_kWh/1000),0,TER_handel_ele_kWh/1000)</f>
        <v>9463.7856350999991</v>
      </c>
      <c r="C28" s="39">
        <f>IF(ISERROR(B28*3.6/1000000/'E Balans VL '!Z13*100),0,B28*3.6/1000000/'E Balans VL '!Z13*100)</f>
        <v>0.27912739412618448</v>
      </c>
      <c r="D28" s="237" t="s">
        <v>660</v>
      </c>
      <c r="F28" s="6"/>
    </row>
    <row r="29" spans="1:18">
      <c r="A29" s="231" t="s">
        <v>51</v>
      </c>
      <c r="B29" s="33">
        <f>IF(ISERROR(TER_gezond_ele_kWh/1000),0,TER_gezond_ele_kWh/1000)</f>
        <v>1867.8025910000001</v>
      </c>
      <c r="C29" s="39">
        <f>IF(ISERROR(B29*3.6/1000000/'E Balans VL '!Z10*100),0,B29*3.6/1000000/'E Balans VL '!Z10*100)</f>
        <v>0.19943123905343832</v>
      </c>
      <c r="D29" s="237" t="s">
        <v>660</v>
      </c>
      <c r="F29" s="6"/>
    </row>
    <row r="30" spans="1:18">
      <c r="A30" s="231" t="s">
        <v>50</v>
      </c>
      <c r="B30" s="33">
        <f>IF(ISERROR(TER_ander_ele_kWh/1000),0,TER_ander_ele_kWh/1000)</f>
        <v>3172.5496407000001</v>
      </c>
      <c r="C30" s="39">
        <f>IF(ISERROR(B30*3.6/1000000/'E Balans VL '!Z14*100),0,B30*3.6/1000000/'E Balans VL '!Z14*100)</f>
        <v>0.23963513246199175</v>
      </c>
      <c r="D30" s="237" t="s">
        <v>660</v>
      </c>
      <c r="F30" s="6"/>
    </row>
    <row r="31" spans="1:18">
      <c r="A31" s="231" t="s">
        <v>55</v>
      </c>
      <c r="B31" s="33">
        <f>IF(ISERROR(TER_onderwijs_ele_kWh/1000),0,TER_onderwijs_ele_kWh/1000)</f>
        <v>241.19555567999998</v>
      </c>
      <c r="C31" s="39">
        <f>IF(ISERROR(B31*3.6/1000000/'E Balans VL '!Z11*100),0,B31*3.6/1000000/'E Balans VL '!Z11*100)</f>
        <v>4.8705434421470628E-2</v>
      </c>
      <c r="D31" s="237" t="s">
        <v>660</v>
      </c>
    </row>
    <row r="32" spans="1:18">
      <c r="A32" s="231" t="s">
        <v>260</v>
      </c>
      <c r="B32" s="33">
        <f>IF(ISERROR(TER_rest_ele_kWh/1000),0,TER_rest_ele_kWh/1000)</f>
        <v>3671.0695849000003</v>
      </c>
      <c r="C32" s="39">
        <f>IF(ISERROR(B32*3.6/1000000/'E Balans VL '!Z8*100),0,B32*3.6/1000000/'E Balans VL '!Z8*100)</f>
        <v>3.0438278786339916E-2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5</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163</v>
      </c>
      <c r="B1" s="1184" t="s">
        <v>195</v>
      </c>
      <c r="C1" s="1185"/>
      <c r="D1" s="1185"/>
      <c r="E1" s="1185"/>
      <c r="F1" s="1185"/>
      <c r="G1" s="1185"/>
      <c r="H1" s="1185"/>
      <c r="I1" s="1185"/>
      <c r="J1" s="1185"/>
      <c r="K1" s="1185"/>
      <c r="L1" s="1185"/>
      <c r="M1" s="1185"/>
      <c r="N1" s="1185"/>
      <c r="O1" s="1185"/>
      <c r="P1" s="1185"/>
      <c r="R1" s="82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c r="R2" s="825"/>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5238.3478147599999</v>
      </c>
      <c r="C5" s="17">
        <f>IF(ISERROR('Eigen informatie GS &amp; warmtenet'!B59),0,'Eigen informatie GS &amp; warmtenet'!B59)</f>
        <v>0</v>
      </c>
      <c r="D5" s="30">
        <f>SUM(D6:D15)</f>
        <v>3792.3424643962003</v>
      </c>
      <c r="E5" s="17">
        <f>SUM(E6:E15)</f>
        <v>606.90417225727447</v>
      </c>
      <c r="F5" s="17">
        <f>SUM(F6:F15)</f>
        <v>2521.5898333767918</v>
      </c>
      <c r="G5" s="18"/>
      <c r="H5" s="17"/>
      <c r="I5" s="17"/>
      <c r="J5" s="17">
        <f>SUM(J6:J15)</f>
        <v>4.0878596010504076</v>
      </c>
      <c r="K5" s="17"/>
      <c r="L5" s="17"/>
      <c r="M5" s="17"/>
      <c r="N5" s="17">
        <f>SUM(N6:N15)</f>
        <v>1624.4299689736954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397.55242132999996</v>
      </c>
      <c r="C8" s="33"/>
      <c r="D8" s="37">
        <f>IF( ISERROR(IND_metaal_Gas_kWH/1000),0,IND_metaal_Gas_kWH/1000)*0.902</f>
        <v>0</v>
      </c>
      <c r="E8" s="33">
        <f>C30*'E Balans VL '!I18/100/3.6*1000000</f>
        <v>14.305138797055037</v>
      </c>
      <c r="F8" s="33">
        <f>C30*'E Balans VL '!L18/100/3.6*1000000+C30*'E Balans VL '!N18/100/3.6*1000000</f>
        <v>173.59825513185041</v>
      </c>
      <c r="G8" s="34"/>
      <c r="H8" s="33"/>
      <c r="I8" s="33"/>
      <c r="J8" s="40">
        <f>C30*'E Balans VL '!D18/100/3.6*1000000+C30*'E Balans VL '!E18/100/3.6*1000000</f>
        <v>0</v>
      </c>
      <c r="K8" s="33"/>
      <c r="L8" s="33"/>
      <c r="M8" s="33"/>
      <c r="N8" s="33">
        <f>C30*'E Balans VL '!Y18/100/3.6*1000000</f>
        <v>19.925057191562672</v>
      </c>
      <c r="O8" s="33"/>
      <c r="P8" s="33"/>
      <c r="R8" s="32"/>
    </row>
    <row r="9" spans="1:18">
      <c r="A9" s="6" t="s">
        <v>33</v>
      </c>
      <c r="B9" s="37">
        <f t="shared" si="0"/>
        <v>1980.3249261000001</v>
      </c>
      <c r="C9" s="33"/>
      <c r="D9" s="37">
        <f>IF( ISERROR(IND_andere_gas_kWh/1000),0,IND_andere_gas_kWh/1000)*0.902</f>
        <v>1358.9802457484002</v>
      </c>
      <c r="E9" s="33">
        <f>C31*'E Balans VL '!I19/100/3.6*1000000</f>
        <v>505.33411503429465</v>
      </c>
      <c r="F9" s="33">
        <f>C31*'E Balans VL '!L19/100/3.6*1000000+C31*'E Balans VL '!N19/100/3.6*1000000</f>
        <v>1704.9109143639798</v>
      </c>
      <c r="G9" s="34"/>
      <c r="H9" s="33"/>
      <c r="I9" s="33"/>
      <c r="J9" s="40">
        <f>C31*'E Balans VL '!D19/100/3.6*1000000+C31*'E Balans VL '!E19/100/3.6*1000000</f>
        <v>0</v>
      </c>
      <c r="K9" s="33"/>
      <c r="L9" s="33"/>
      <c r="M9" s="33"/>
      <c r="N9" s="33">
        <f>C31*'E Balans VL '!Y19/100/3.6*1000000</f>
        <v>619.31542343725073</v>
      </c>
      <c r="O9" s="33"/>
      <c r="P9" s="33"/>
      <c r="R9" s="32"/>
    </row>
    <row r="10" spans="1:18">
      <c r="A10" s="6" t="s">
        <v>41</v>
      </c>
      <c r="B10" s="37">
        <f t="shared" si="0"/>
        <v>2356.2393909000002</v>
      </c>
      <c r="C10" s="33"/>
      <c r="D10" s="37">
        <f>IF( ISERROR(IND_voed_gas_kWh/1000),0,IND_voed_gas_kWh/1000)*0.902</f>
        <v>1060.4220179124</v>
      </c>
      <c r="E10" s="33">
        <f>C32*'E Balans VL '!I20/100/3.6*1000000</f>
        <v>59.898840698495782</v>
      </c>
      <c r="F10" s="33">
        <f>C32*'E Balans VL '!L20/100/3.6*1000000+C32*'E Balans VL '!N20/100/3.6*1000000</f>
        <v>533.18160395708435</v>
      </c>
      <c r="G10" s="34"/>
      <c r="H10" s="33"/>
      <c r="I10" s="33"/>
      <c r="J10" s="40">
        <f>C32*'E Balans VL '!D20/100/3.6*1000000+C32*'E Balans VL '!E20/100/3.6*1000000</f>
        <v>0</v>
      </c>
      <c r="K10" s="33"/>
      <c r="L10" s="33"/>
      <c r="M10" s="33"/>
      <c r="N10" s="33">
        <f>C32*'E Balans VL '!Y20/100/3.6*1000000</f>
        <v>883.65363996836766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504.23107643000003</v>
      </c>
      <c r="C15" s="33"/>
      <c r="D15" s="37">
        <f>IF( ISERROR(IND_rest_gas_kWh/1000),0,IND_rest_gas_kWh/1000)*0.902</f>
        <v>1372.9402007354001</v>
      </c>
      <c r="E15" s="33">
        <f>C37*'E Balans VL '!I15/100/3.6*1000000</f>
        <v>27.366077727429055</v>
      </c>
      <c r="F15" s="33">
        <f>C37*'E Balans VL '!L15/100/3.6*1000000+C37*'E Balans VL '!N15/100/3.6*1000000</f>
        <v>109.89905992387719</v>
      </c>
      <c r="G15" s="34"/>
      <c r="H15" s="33"/>
      <c r="I15" s="33"/>
      <c r="J15" s="40">
        <f>C37*'E Balans VL '!D15/100/3.6*1000000+C37*'E Balans VL '!E15/100/3.6*1000000</f>
        <v>4.0878596010504076</v>
      </c>
      <c r="K15" s="33"/>
      <c r="L15" s="33"/>
      <c r="M15" s="33"/>
      <c r="N15" s="33">
        <f>C37*'E Balans VL '!Y15/100/3.6*1000000</f>
        <v>101.53584837651451</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5238.3478147599999</v>
      </c>
      <c r="C18" s="21">
        <f>C5+C16</f>
        <v>0</v>
      </c>
      <c r="D18" s="21">
        <f>MAX((D5+D16),0)</f>
        <v>3792.3424643962003</v>
      </c>
      <c r="E18" s="21">
        <f>MAX((E5+E16),0)</f>
        <v>606.90417225727447</v>
      </c>
      <c r="F18" s="21">
        <f>MAX((F5+F16),0)</f>
        <v>2521.5898333767918</v>
      </c>
      <c r="G18" s="21"/>
      <c r="H18" s="21"/>
      <c r="I18" s="21"/>
      <c r="J18" s="21">
        <f>MAX((J5+J16),0)</f>
        <v>4.0878596010504076</v>
      </c>
      <c r="K18" s="21"/>
      <c r="L18" s="21">
        <f>MAX((L5+L16),0)</f>
        <v>0</v>
      </c>
      <c r="M18" s="21"/>
      <c r="N18" s="21">
        <f>MAX((N5+N16),0)</f>
        <v>1624.4299689736954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0.21622920019961542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1132.683758352958</v>
      </c>
      <c r="C22" s="23">
        <f ca="1">C18*C20</f>
        <v>0</v>
      </c>
      <c r="D22" s="23">
        <f>D18*D20</f>
        <v>766.0531778080325</v>
      </c>
      <c r="E22" s="23">
        <f>E18*E20</f>
        <v>137.76724710240131</v>
      </c>
      <c r="F22" s="23">
        <f>F18*F20</f>
        <v>673.26448551160343</v>
      </c>
      <c r="G22" s="23"/>
      <c r="H22" s="23"/>
      <c r="I22" s="23"/>
      <c r="J22" s="23">
        <f>J18*J20</f>
        <v>1.4471022987718443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397.55242132999996</v>
      </c>
      <c r="C30" s="39">
        <f>IF(ISERROR(B30*3.6/1000000/'E Balans VL '!Z18*100),0,B30*3.6/1000000/'E Balans VL '!Z18*100)</f>
        <v>8.4232834780549853E-2</v>
      </c>
      <c r="D30" s="237" t="s">
        <v>660</v>
      </c>
    </row>
    <row r="31" spans="1:18">
      <c r="A31" s="6" t="s">
        <v>33</v>
      </c>
      <c r="B31" s="37">
        <f>IF( ISERROR(IND_ander_ele_kWh/1000),0,IND_ander_ele_kWh/1000)</f>
        <v>1980.3249261000001</v>
      </c>
      <c r="C31" s="39">
        <f>IF(ISERROR(B31*3.6/1000000/'E Balans VL '!Z19*100),0,B31*3.6/1000000/'E Balans VL '!Z19*100)</f>
        <v>8.3356372794317055E-2</v>
      </c>
      <c r="D31" s="237" t="s">
        <v>660</v>
      </c>
    </row>
    <row r="32" spans="1:18">
      <c r="A32" s="171" t="s">
        <v>41</v>
      </c>
      <c r="B32" s="37">
        <f>IF( ISERROR(IND_voed_ele_kWh/1000),0,IND_voed_ele_kWh/1000)</f>
        <v>2356.2393909000002</v>
      </c>
      <c r="C32" s="39">
        <f>IF(ISERROR(B32*3.6/1000000/'E Balans VL '!Z20*100),0,B32*3.6/1000000/'E Balans VL '!Z20*100)</f>
        <v>0.39363644926503472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504.23107643000003</v>
      </c>
      <c r="C37" s="39">
        <f>IF(ISERROR(B37*3.6/1000000/'E Balans VL '!Z15*100),0,B37*3.6/1000000/'E Balans VL '!Z15*100)</f>
        <v>4.0708527272410953E-3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271</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1129.2896367070002</v>
      </c>
      <c r="C5" s="17">
        <f>'Eigen informatie GS &amp; warmtenet'!B60</f>
        <v>0</v>
      </c>
      <c r="D5" s="30">
        <f>IF(ISERROR(SUM(LB_lb_gas_kWh,LB_rest_gas_kWh,onbekend_gas_kWh)/1000),0,SUM(LB_lb_gas_kWh,LB_rest_gas_kWh,onbekend_gas_kWh)/1000)*0.902</f>
        <v>7744.568878785949</v>
      </c>
      <c r="E5" s="17">
        <f>B17*'E Balans VL '!I25/3.6*1000000/100</f>
        <v>29.120043759770805</v>
      </c>
      <c r="F5" s="17">
        <f>B17*('E Balans VL '!L25/3.6*1000000+'E Balans VL '!N25/3.6*1000000)/100</f>
        <v>4127.7686849282627</v>
      </c>
      <c r="G5" s="18"/>
      <c r="H5" s="17"/>
      <c r="I5" s="17"/>
      <c r="J5" s="17">
        <f>('E Balans VL '!D25+'E Balans VL '!E25)/3.6*1000000*landbouw!B17/100</f>
        <v>162.57616489520518</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1129.2896367070002</v>
      </c>
      <c r="C8" s="21">
        <f>C5+C6</f>
        <v>0</v>
      </c>
      <c r="D8" s="21">
        <f>MAX((D5+D6),0)</f>
        <v>7744.568878785949</v>
      </c>
      <c r="E8" s="21">
        <f>MAX((E5+E6),0)</f>
        <v>29.120043759770805</v>
      </c>
      <c r="F8" s="21">
        <f>MAX((F5+F6),0)</f>
        <v>4127.7686849282627</v>
      </c>
      <c r="G8" s="21"/>
      <c r="H8" s="21"/>
      <c r="I8" s="21"/>
      <c r="J8" s="21">
        <f>MAX((J5+J6),0)</f>
        <v>162.57616489520518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0.21622920019961542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244.18539493886891</v>
      </c>
      <c r="C12" s="23">
        <f ca="1">C8*C10</f>
        <v>0</v>
      </c>
      <c r="D12" s="23">
        <f>D8*D10</f>
        <v>1564.4029135147618</v>
      </c>
      <c r="E12" s="23">
        <f>E8*E10</f>
        <v>6.6102499334679727</v>
      </c>
      <c r="F12" s="23">
        <f>F8*F10</f>
        <v>1102.1142388758462</v>
      </c>
      <c r="G12" s="23"/>
      <c r="H12" s="23"/>
      <c r="I12" s="23"/>
      <c r="J12" s="23">
        <f>J8*J10</f>
        <v>57.551962372902629</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0.15923731902251198</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91" t="s">
        <v>303</v>
      </c>
      <c r="B22" s="1194" t="s">
        <v>304</v>
      </c>
      <c r="C22" s="1194" t="s">
        <v>496</v>
      </c>
    </row>
    <row r="23" spans="1:4">
      <c r="A23" s="1192"/>
      <c r="B23" s="1195"/>
      <c r="C23" s="1195"/>
    </row>
    <row r="24" spans="1:4" ht="15.75" thickBot="1">
      <c r="A24" s="1193"/>
      <c r="B24" s="1196"/>
      <c r="C24" s="1196"/>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301.33680088499807</v>
      </c>
      <c r="C26" s="247">
        <f>B26*'GWP N2O_CH4'!B5</f>
        <v>6328.0728185849594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98.70851522070744</v>
      </c>
      <c r="C27" s="247">
        <f>B27*'GWP N2O_CH4'!B5</f>
        <v>2072.8788196348564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3.9829574959920273</v>
      </c>
      <c r="C28" s="247">
        <f>B28*'GWP N2O_CH4'!B4</f>
        <v>1234.7168237575286</v>
      </c>
      <c r="D28" s="50"/>
    </row>
    <row r="29" spans="1:4">
      <c r="A29" s="41" t="s">
        <v>277</v>
      </c>
      <c r="B29" s="247">
        <f>B34*'ha_N2O bodem landbouw'!B4</f>
        <v>12.752420713698916</v>
      </c>
      <c r="C29" s="247">
        <f>B29*'GWP N2O_CH4'!B4</f>
        <v>3953.2504212466638</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2.8699876472824022E-3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3" t="s">
        <v>500</v>
      </c>
      <c r="B1" s="1184" t="s">
        <v>549</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8.3861461073263136E-5</v>
      </c>
      <c r="C5" s="463" t="s">
        <v>211</v>
      </c>
      <c r="D5" s="448">
        <f>SUM(D6:D11)</f>
        <v>1.7602848334154382E-4</v>
      </c>
      <c r="E5" s="448">
        <f>SUM(E6:E11)</f>
        <v>7.7846964710531633E-4</v>
      </c>
      <c r="F5" s="461" t="s">
        <v>211</v>
      </c>
      <c r="G5" s="448">
        <f>SUM(G6:G11)</f>
        <v>0.36802556292971433</v>
      </c>
      <c r="H5" s="448">
        <f>SUM(H6:H11)</f>
        <v>4.8668823731660836E-2</v>
      </c>
      <c r="I5" s="463" t="s">
        <v>211</v>
      </c>
      <c r="J5" s="463" t="s">
        <v>211</v>
      </c>
      <c r="K5" s="463" t="s">
        <v>211</v>
      </c>
      <c r="L5" s="463" t="s">
        <v>211</v>
      </c>
      <c r="M5" s="448">
        <f>SUM(M6:M11)</f>
        <v>1.3052091562959917E-2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3.6081382342685916E-5</v>
      </c>
      <c r="C6" s="449"/>
      <c r="D6" s="962">
        <f>vkm_2011_GW_PW*SUMIFS(TableVerdeelsleutelVkm[CNG],TableVerdeelsleutelVkm[Voertuigtype],"Lichte voertuigen")*SUMIFS(TableECFTransport[EnergieConsumptieFactor (PJ per km)],TableECFTransport[Index],CONCATENATE($A6,"_CNG_CNG"))</f>
        <v>7.1694338735694139E-5</v>
      </c>
      <c r="E6" s="962">
        <f>vkm_2011_GW_PW*SUMIFS(TableVerdeelsleutelVkm[LPG],TableVerdeelsleutelVkm[Voertuigtype],"Lichte voertuigen")*SUMIFS(TableECFTransport[EnergieConsumptieFactor (PJ per km)],TableECFTransport[Index],CONCATENATE($A6,"_LPG_LPG"))</f>
        <v>2.8214292341876933E-4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6.7083906300771837E-2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1.9409814372249271E-2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2.6952242056407878E-3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4.6292297902076757E-2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1.4954389528797509E-5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1.4585994761573853E-3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3.4397867811335677E-6</v>
      </c>
      <c r="C8" s="449"/>
      <c r="D8" s="451">
        <f>vkm_2011_NGW_PW*SUMIFS(TableVerdeelsleutelVkm[CNG],TableVerdeelsleutelVkm[Voertuigtype],"Lichte voertuigen")*SUMIFS(TableECFTransport[EnergieConsumptieFactor (PJ per km)],TableECFTransport[Index],CONCATENATE($A8,"_CNG_CNG"))</f>
        <v>1.2102143964722165E-5</v>
      </c>
      <c r="E8" s="451">
        <f>vkm_2011_NGW_PW*SUMIFS(TableVerdeelsleutelVkm[LPG],TableVerdeelsleutelVkm[Voertuigtype],"Lichte voertuigen")*SUMIFS(TableECFTransport[EnergieConsumptieFactor (PJ per km)],TableECFTransport[Index],CONCATENATE($A8,"_LPG_LPG"))</f>
        <v>4.4045890299727417E-5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9.7794258215949791E-3</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3.1769900064405189E-3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4.0332816900304696E-4</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1.3548500721740971E-3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4.1391818496568481E-7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4.268854022370655E-5</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4.4340291949443644E-5</v>
      </c>
      <c r="C10" s="449"/>
      <c r="D10" s="451">
        <f>vkm_2011_SW_PW*SUMIFS(TableVerdeelsleutelVkm[CNG],TableVerdeelsleutelVkm[Voertuigtype],"Lichte voertuigen")*SUMIFS(TableECFTransport[EnergieConsumptieFactor (PJ per km)],TableECFTransport[Index],CONCATENATE($A10,"_CNG_CNG"))</f>
        <v>9.2232000641127512E-5</v>
      </c>
      <c r="E10" s="451">
        <f>vkm_2011_SW_PW*SUMIFS(TableVerdeelsleutelVkm[LPG],TableVerdeelsleutelVkm[Voertuigtype],"Lichte voertuigen")*SUMIFS(TableECFTransport[EnergieConsumptieFactor (PJ per km)],TableECFTransport[Index],CONCATENATE($A10,"_LPG_LPG"))</f>
        <v>4.5228083338681951E-4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9.6330624593038441E-2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2.6015422244975061E-2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3.8145836631448115E-3</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0.14718445824005819</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5.122880028222593E-5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4.6376675087901791E-3</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23.294850298128651</v>
      </c>
      <c r="C14" s="21"/>
      <c r="D14" s="21">
        <f t="shared" ref="D14:M14" si="0">((D5)*10^9/3600)+D12</f>
        <v>48.896800928206616</v>
      </c>
      <c r="E14" s="21">
        <f t="shared" si="0"/>
        <v>216.24156864036564</v>
      </c>
      <c r="F14" s="21"/>
      <c r="G14" s="21">
        <f t="shared" si="0"/>
        <v>102229.32303603175</v>
      </c>
      <c r="H14" s="21">
        <f t="shared" si="0"/>
        <v>13519.117703239121</v>
      </c>
      <c r="I14" s="21"/>
      <c r="J14" s="21"/>
      <c r="K14" s="21"/>
      <c r="L14" s="21"/>
      <c r="M14" s="21">
        <f t="shared" si="0"/>
        <v>3625.580989711088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0.21622920019961542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5.037026848734131</v>
      </c>
      <c r="C18" s="23"/>
      <c r="D18" s="23">
        <f t="shared" ref="D18:M18" si="1">D14*D16</f>
        <v>9.877153787497738</v>
      </c>
      <c r="E18" s="23">
        <f t="shared" si="1"/>
        <v>49.086836081363003</v>
      </c>
      <c r="F18" s="23"/>
      <c r="G18" s="23">
        <f t="shared" si="1"/>
        <v>27295.229250620479</v>
      </c>
      <c r="H18" s="23">
        <f t="shared" si="1"/>
        <v>3366.2603081065408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2015</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2015</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7" t="s">
        <v>501</v>
      </c>
      <c r="B46" s="1198" t="s">
        <v>548</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2.9666887971168212E-3</v>
      </c>
      <c r="C50" s="321">
        <f t="shared" ref="C50:P50" si="2">SUM(C51:C52)</f>
        <v>0</v>
      </c>
      <c r="D50" s="321">
        <f t="shared" si="2"/>
        <v>0</v>
      </c>
      <c r="E50" s="321">
        <f t="shared" si="2"/>
        <v>0</v>
      </c>
      <c r="F50" s="321">
        <f t="shared" si="2"/>
        <v>0</v>
      </c>
      <c r="G50" s="321">
        <f t="shared" si="2"/>
        <v>2.4024462221973945E-3</v>
      </c>
      <c r="H50" s="321">
        <f t="shared" si="2"/>
        <v>0</v>
      </c>
      <c r="I50" s="321">
        <f t="shared" si="2"/>
        <v>0</v>
      </c>
      <c r="J50" s="321">
        <f t="shared" si="2"/>
        <v>0</v>
      </c>
      <c r="K50" s="321">
        <f t="shared" si="2"/>
        <v>0</v>
      </c>
      <c r="L50" s="321">
        <f t="shared" si="2"/>
        <v>0</v>
      </c>
      <c r="M50" s="321">
        <f t="shared" si="2"/>
        <v>7.4518507102907172E-5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2.4024462221973945E-3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7.4518507102907172E-5</v>
      </c>
      <c r="N51" s="323"/>
      <c r="O51" s="323"/>
      <c r="P51" s="326"/>
    </row>
    <row r="52" spans="1:18">
      <c r="A52" s="4" t="s">
        <v>330</v>
      </c>
      <c r="B52" s="963">
        <f>vkm_2011_tram*SUMIFS(TableECFTransport[EnergieConsumptieFactor (PJ per km)],TableECFTransport[Index],"Tram_gemiddeld_Electric_Electric")</f>
        <v>2.9666887971168212E-3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824.08022142133916</v>
      </c>
      <c r="C54" s="21">
        <f t="shared" ref="C54:P54" si="3">(C50)*10^9/3600</f>
        <v>0</v>
      </c>
      <c r="D54" s="21">
        <f t="shared" si="3"/>
        <v>0</v>
      </c>
      <c r="E54" s="21">
        <f t="shared" si="3"/>
        <v>0</v>
      </c>
      <c r="F54" s="21">
        <f t="shared" si="3"/>
        <v>0</v>
      </c>
      <c r="G54" s="21">
        <f t="shared" si="3"/>
        <v>667.34617283260957</v>
      </c>
      <c r="H54" s="21">
        <f t="shared" si="3"/>
        <v>0</v>
      </c>
      <c r="I54" s="21">
        <f t="shared" si="3"/>
        <v>0</v>
      </c>
      <c r="J54" s="21">
        <f t="shared" si="3"/>
        <v>0</v>
      </c>
      <c r="K54" s="21">
        <f t="shared" si="3"/>
        <v>0</v>
      </c>
      <c r="L54" s="21">
        <f t="shared" si="3"/>
        <v>0</v>
      </c>
      <c r="M54" s="21">
        <f t="shared" si="3"/>
        <v>20.699585306363101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0.21622920019961542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178.19020717825813</v>
      </c>
      <c r="C58" s="23">
        <f t="shared" ref="C58:P58" ca="1" si="4">C54*C56</f>
        <v>0</v>
      </c>
      <c r="D58" s="23">
        <f t="shared" si="4"/>
        <v>0</v>
      </c>
      <c r="E58" s="23">
        <f t="shared" si="4"/>
        <v>0</v>
      </c>
      <c r="F58" s="23">
        <f t="shared" si="4"/>
        <v>0</v>
      </c>
      <c r="G58" s="23">
        <f t="shared" si="4"/>
        <v>178.18142814630676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23" t="s">
        <v>241</v>
      </c>
      <c r="B1" s="1223" t="s">
        <v>242</v>
      </c>
      <c r="C1" s="1230" t="s">
        <v>243</v>
      </c>
      <c r="D1" s="1231"/>
      <c r="E1" s="1231"/>
      <c r="F1" s="1231"/>
      <c r="G1" s="1231"/>
      <c r="H1" s="1231"/>
      <c r="I1" s="1231"/>
      <c r="J1" s="1231"/>
      <c r="K1" s="1231"/>
      <c r="L1" s="1232"/>
      <c r="M1" s="1227" t="s">
        <v>244</v>
      </c>
      <c r="N1" s="1244" t="s">
        <v>550</v>
      </c>
      <c r="O1" s="1227"/>
      <c r="Q1" s="1222"/>
      <c r="R1" s="1222"/>
      <c r="S1" s="1222"/>
    </row>
    <row r="2" spans="1:19" s="563" customFormat="1" ht="15.75" thickBot="1">
      <c r="A2" s="1224"/>
      <c r="B2" s="1224"/>
      <c r="C2" s="1233" t="s">
        <v>197</v>
      </c>
      <c r="D2" s="1234"/>
      <c r="E2" s="1234"/>
      <c r="F2" s="1234"/>
      <c r="G2" s="1235"/>
      <c r="H2" s="1236" t="s">
        <v>245</v>
      </c>
      <c r="I2" s="1238" t="s">
        <v>246</v>
      </c>
      <c r="J2" s="1238" t="s">
        <v>234</v>
      </c>
      <c r="K2" s="1238" t="s">
        <v>247</v>
      </c>
      <c r="L2" s="1220" t="s">
        <v>127</v>
      </c>
      <c r="M2" s="1228"/>
      <c r="N2" s="1245"/>
      <c r="O2" s="1228"/>
      <c r="Q2" s="1222"/>
      <c r="R2" s="1222"/>
      <c r="S2" s="1222"/>
    </row>
    <row r="3" spans="1:19" s="563" customFormat="1" ht="53.45" customHeight="1" thickBot="1">
      <c r="A3" s="1225"/>
      <c r="B3" s="1226"/>
      <c r="C3" s="564" t="s">
        <v>199</v>
      </c>
      <c r="D3" s="565" t="s">
        <v>200</v>
      </c>
      <c r="E3" s="566" t="s">
        <v>201</v>
      </c>
      <c r="F3" s="567" t="s">
        <v>203</v>
      </c>
      <c r="G3" s="568" t="s">
        <v>204</v>
      </c>
      <c r="H3" s="1237"/>
      <c r="I3" s="1239"/>
      <c r="J3" s="1239"/>
      <c r="K3" s="1239"/>
      <c r="L3" s="1221"/>
      <c r="M3" s="1229"/>
      <c r="N3" s="1226"/>
      <c r="O3" s="1229"/>
      <c r="Q3" s="1222"/>
      <c r="R3" s="1222"/>
      <c r="S3" s="1222"/>
    </row>
    <row r="4" spans="1:19" s="563" customFormat="1" ht="15.75" thickTop="1">
      <c r="A4" s="569" t="s">
        <v>249</v>
      </c>
      <c r="B4" s="570">
        <f>IF(ISERROR(kWh_wind_land),0,kWh_wind_land)</f>
        <v>0</v>
      </c>
      <c r="C4" s="1208"/>
      <c r="D4" s="1211"/>
      <c r="E4" s="1211"/>
      <c r="F4" s="1214"/>
      <c r="G4" s="1217"/>
      <c r="H4" s="1205"/>
      <c r="I4" s="1211"/>
      <c r="J4" s="1211"/>
      <c r="K4" s="571"/>
      <c r="L4" s="1241"/>
      <c r="M4" s="572"/>
      <c r="N4" s="1253"/>
      <c r="O4" s="1254"/>
      <c r="Q4" s="573"/>
      <c r="R4" s="1240"/>
      <c r="S4" s="1240"/>
    </row>
    <row r="5" spans="1:19" s="563" customFormat="1">
      <c r="A5" s="574" t="s">
        <v>250</v>
      </c>
      <c r="B5" s="570">
        <f>IF(ISERROR(kWh_waterkracht),0,kWh_waterkracht)</f>
        <v>0</v>
      </c>
      <c r="C5" s="1209"/>
      <c r="D5" s="1212"/>
      <c r="E5" s="1212"/>
      <c r="F5" s="1215"/>
      <c r="G5" s="1218"/>
      <c r="H5" s="1206"/>
      <c r="I5" s="1212"/>
      <c r="J5" s="1212"/>
      <c r="K5" s="1212"/>
      <c r="L5" s="1242"/>
      <c r="M5" s="575"/>
      <c r="N5" s="1255"/>
      <c r="O5" s="1256"/>
      <c r="Q5" s="573"/>
      <c r="R5" s="1240"/>
      <c r="S5" s="1240"/>
    </row>
    <row r="6" spans="1:19" s="563" customFormat="1">
      <c r="A6" s="574" t="s">
        <v>251</v>
      </c>
      <c r="B6" s="570">
        <f>IF(ISERROR((kWh_PV_kleiner_dan_10kW+kWh_PV_groter_dan_10kW)),0,(kWh_PV_kleiner_dan_10kW+kWh_PV_groter_dan_10kW))</f>
        <v>1570.1347233091956</v>
      </c>
      <c r="C6" s="1210"/>
      <c r="D6" s="1213"/>
      <c r="E6" s="1213"/>
      <c r="F6" s="1216"/>
      <c r="G6" s="1219"/>
      <c r="H6" s="1207"/>
      <c r="I6" s="1213"/>
      <c r="J6" s="1213"/>
      <c r="K6" s="1213"/>
      <c r="L6" s="1243"/>
      <c r="M6" s="575"/>
      <c r="N6" s="1255"/>
      <c r="O6" s="1256"/>
      <c r="Q6" s="573"/>
      <c r="R6" s="1240"/>
      <c r="S6" s="1240"/>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55"/>
      <c r="O7" s="1256"/>
      <c r="Q7" s="573"/>
      <c r="R7" s="1240"/>
      <c r="S7" s="1240"/>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57"/>
      <c r="O8" s="1258"/>
      <c r="P8" s="591"/>
      <c r="Q8" s="573"/>
      <c r="R8" s="1240"/>
      <c r="S8" s="1240"/>
    </row>
    <row r="9" spans="1:19" s="563" customFormat="1" ht="16.5" thickTop="1" thickBot="1">
      <c r="A9" s="592" t="s">
        <v>116</v>
      </c>
      <c r="B9" s="593">
        <f>SUM(B4:B8)</f>
        <v>1570.1347233091956</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23" t="s">
        <v>253</v>
      </c>
      <c r="B13" s="1223" t="s">
        <v>254</v>
      </c>
      <c r="C13" s="1230" t="s">
        <v>255</v>
      </c>
      <c r="D13" s="1231"/>
      <c r="E13" s="1231"/>
      <c r="F13" s="1231"/>
      <c r="G13" s="1231"/>
      <c r="H13" s="1231"/>
      <c r="I13" s="1231"/>
      <c r="J13" s="1231"/>
      <c r="K13" s="1231"/>
      <c r="L13" s="1232"/>
      <c r="M13" s="1227" t="s">
        <v>244</v>
      </c>
      <c r="N13" s="1244" t="s">
        <v>256</v>
      </c>
      <c r="O13" s="1227"/>
      <c r="P13" s="1222"/>
      <c r="Q13" s="1222"/>
      <c r="R13" s="1222"/>
    </row>
    <row r="14" spans="1:19" s="563" customFormat="1" ht="15.75" thickBot="1">
      <c r="A14" s="1224"/>
      <c r="B14" s="1224"/>
      <c r="C14" s="1246" t="s">
        <v>197</v>
      </c>
      <c r="D14" s="1247"/>
      <c r="E14" s="1247"/>
      <c r="F14" s="1247"/>
      <c r="G14" s="1248"/>
      <c r="H14" s="1249" t="s">
        <v>245</v>
      </c>
      <c r="I14" s="1249" t="s">
        <v>246</v>
      </c>
      <c r="J14" s="1250" t="s">
        <v>234</v>
      </c>
      <c r="K14" s="1238" t="s">
        <v>257</v>
      </c>
      <c r="L14" s="1220" t="s">
        <v>127</v>
      </c>
      <c r="M14" s="1228"/>
      <c r="N14" s="1245"/>
      <c r="O14" s="1228"/>
      <c r="P14" s="1222"/>
      <c r="Q14" s="1222"/>
      <c r="R14" s="1222"/>
    </row>
    <row r="15" spans="1:19" s="563" customFormat="1" ht="40.700000000000003" customHeight="1" thickBot="1">
      <c r="A15" s="1225"/>
      <c r="B15" s="1225"/>
      <c r="C15" s="605" t="s">
        <v>199</v>
      </c>
      <c r="D15" s="565" t="s">
        <v>200</v>
      </c>
      <c r="E15" s="606" t="s">
        <v>201</v>
      </c>
      <c r="F15" s="565" t="s">
        <v>203</v>
      </c>
      <c r="G15" s="607" t="s">
        <v>204</v>
      </c>
      <c r="H15" s="1237"/>
      <c r="I15" s="1237"/>
      <c r="J15" s="1251"/>
      <c r="K15" s="1239"/>
      <c r="L15" s="1252"/>
      <c r="M15" s="1229"/>
      <c r="N15" s="1226"/>
      <c r="O15" s="1229"/>
      <c r="P15" s="1222"/>
      <c r="Q15" s="1222"/>
      <c r="R15" s="1222"/>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62"/>
      <c r="O16" s="1263"/>
      <c r="P16" s="616"/>
      <c r="Q16" s="1264"/>
      <c r="R16" s="1264"/>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65"/>
      <c r="O17" s="1266"/>
      <c r="P17" s="573"/>
      <c r="Q17" s="1240"/>
      <c r="R17" s="1240"/>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67"/>
      <c r="O18" s="1268"/>
      <c r="P18" s="573"/>
      <c r="Q18" s="1240"/>
      <c r="R18" s="1240"/>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59"/>
      <c r="O19" s="1260"/>
      <c r="P19" s="573"/>
      <c r="Q19" s="1261"/>
      <c r="R19" s="1261"/>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783</v>
      </c>
      <c r="B10" s="859">
        <v>2017</v>
      </c>
      <c r="C10" s="373" t="s">
        <v>785</v>
      </c>
      <c r="D10" s="373" t="s">
        <v>784</v>
      </c>
      <c r="E10" s="375" t="s">
        <v>773</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796</v>
      </c>
      <c r="G16" s="371" t="s">
        <v>797</v>
      </c>
      <c r="H16" s="372" t="s">
        <v>798</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790</v>
      </c>
      <c r="C18" s="970" t="s">
        <v>791</v>
      </c>
      <c r="D18" s="972" t="s">
        <v>792</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793</v>
      </c>
      <c r="C21" s="373" t="s">
        <v>408</v>
      </c>
      <c r="D21" s="373" t="s">
        <v>794</v>
      </c>
      <c r="E21" s="370"/>
      <c r="F21" s="371" t="s">
        <v>802</v>
      </c>
      <c r="G21" s="371" t="s">
        <v>803</v>
      </c>
      <c r="H21" s="372" t="s">
        <v>804</v>
      </c>
    </row>
    <row r="22" spans="1:8" s="958" customFormat="1">
      <c r="A22" s="373" t="s">
        <v>408</v>
      </c>
      <c r="B22" s="859" t="s">
        <v>790</v>
      </c>
      <c r="C22" s="373" t="s">
        <v>408</v>
      </c>
      <c r="D22" s="373" t="s">
        <v>795</v>
      </c>
      <c r="E22" s="370"/>
      <c r="F22" s="371" t="s">
        <v>799</v>
      </c>
      <c r="G22" s="371" t="s">
        <v>800</v>
      </c>
      <c r="H22" s="372" t="s">
        <v>801</v>
      </c>
    </row>
    <row r="23" spans="1:8" s="11" customFormat="1">
      <c r="A23" s="373" t="s">
        <v>406</v>
      </c>
      <c r="B23" s="1004" t="str">
        <f>"november 2016"</f>
        <v>november 2016</v>
      </c>
      <c r="C23" s="373" t="s">
        <v>406</v>
      </c>
      <c r="D23" s="373" t="s">
        <v>657</v>
      </c>
      <c r="E23" s="374" t="s">
        <v>658</v>
      </c>
      <c r="F23" s="371" t="s">
        <v>805</v>
      </c>
      <c r="G23" s="371" t="s">
        <v>806</v>
      </c>
      <c r="H23" s="372" t="s">
        <v>807</v>
      </c>
    </row>
    <row r="24" spans="1:8" s="11" customFormat="1">
      <c r="A24" s="373" t="s">
        <v>406</v>
      </c>
      <c r="B24" s="1004" t="str">
        <f>"november 2016"</f>
        <v>november 2016</v>
      </c>
      <c r="C24" s="373" t="s">
        <v>406</v>
      </c>
      <c r="D24" s="1005" t="s">
        <v>635</v>
      </c>
      <c r="E24" s="374" t="s">
        <v>423</v>
      </c>
      <c r="F24" s="371" t="s">
        <v>805</v>
      </c>
      <c r="G24" s="371" t="s">
        <v>806</v>
      </c>
      <c r="H24" s="372" t="s">
        <v>807</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69" t="s">
        <v>221</v>
      </c>
      <c r="B2" s="1069"/>
      <c r="C2" s="1069"/>
      <c r="D2" s="59"/>
      <c r="E2" s="59"/>
      <c r="F2" s="59"/>
      <c r="G2" s="59"/>
      <c r="H2" s="60"/>
      <c r="I2" s="60"/>
      <c r="J2" s="61"/>
      <c r="K2" s="61"/>
      <c r="L2" s="60"/>
      <c r="M2" s="60"/>
      <c r="N2" s="60"/>
      <c r="O2" s="60"/>
      <c r="P2" s="60"/>
      <c r="Q2" s="60"/>
      <c r="R2" s="60"/>
    </row>
    <row r="3" spans="1:19">
      <c r="A3" s="1070"/>
      <c r="B3" s="1070"/>
      <c r="C3" s="1070"/>
      <c r="D3" s="1070"/>
      <c r="E3" s="1070"/>
      <c r="F3" s="1070"/>
      <c r="G3" s="1070"/>
      <c r="H3" s="1070"/>
      <c r="I3" s="1070"/>
      <c r="J3" s="1070"/>
      <c r="K3" s="1070"/>
      <c r="L3" s="1070"/>
      <c r="M3" s="1070"/>
      <c r="N3" s="1070"/>
      <c r="O3" s="1070"/>
      <c r="P3" s="1070"/>
      <c r="Q3" s="1070"/>
      <c r="R3" s="1070"/>
    </row>
    <row r="4" spans="1:19" ht="15.75" thickBot="1">
      <c r="A4" s="473"/>
      <c r="B4" s="473"/>
      <c r="C4" s="63"/>
      <c r="D4" s="63"/>
      <c r="E4" s="63"/>
      <c r="F4" s="63"/>
      <c r="G4" s="63"/>
      <c r="H4" s="63"/>
      <c r="I4" s="63"/>
      <c r="J4" s="63"/>
      <c r="K4" s="63"/>
      <c r="L4" s="63"/>
      <c r="M4" s="63"/>
      <c r="N4" s="63"/>
      <c r="O4" s="63"/>
      <c r="P4" s="63"/>
      <c r="Q4" s="63"/>
      <c r="R4" s="63"/>
    </row>
    <row r="5" spans="1:19" ht="16.5" thickBot="1">
      <c r="A5" s="1071" t="s">
        <v>222</v>
      </c>
      <c r="B5" s="860"/>
      <c r="C5" s="1074" t="s">
        <v>343</v>
      </c>
      <c r="D5" s="1075"/>
      <c r="E5" s="1075"/>
      <c r="F5" s="1075"/>
      <c r="G5" s="1075"/>
      <c r="H5" s="1075"/>
      <c r="I5" s="1075"/>
      <c r="J5" s="1075"/>
      <c r="K5" s="1075"/>
      <c r="L5" s="1075"/>
      <c r="M5" s="1075"/>
      <c r="N5" s="1075"/>
      <c r="O5" s="1075"/>
      <c r="P5" s="1075"/>
      <c r="Q5" s="1075"/>
      <c r="R5" s="1076"/>
    </row>
    <row r="6" spans="1:19" ht="16.5" thickTop="1">
      <c r="A6" s="1072"/>
      <c r="B6" s="861"/>
      <c r="C6" s="1077" t="s">
        <v>21</v>
      </c>
      <c r="D6" s="1079" t="s">
        <v>196</v>
      </c>
      <c r="E6" s="1081" t="s">
        <v>197</v>
      </c>
      <c r="F6" s="1082"/>
      <c r="G6" s="1082"/>
      <c r="H6" s="1082"/>
      <c r="I6" s="1082"/>
      <c r="J6" s="1082"/>
      <c r="K6" s="1082"/>
      <c r="L6" s="1083"/>
      <c r="M6" s="1081" t="s">
        <v>198</v>
      </c>
      <c r="N6" s="1082"/>
      <c r="O6" s="1082"/>
      <c r="P6" s="1082"/>
      <c r="Q6" s="1082"/>
      <c r="R6" s="1084" t="s">
        <v>116</v>
      </c>
    </row>
    <row r="7" spans="1:19" ht="45.75" thickBot="1">
      <c r="A7" s="1073"/>
      <c r="B7" s="862"/>
      <c r="C7" s="1078"/>
      <c r="D7" s="1080"/>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85"/>
    </row>
    <row r="8" spans="1:19" ht="18.75" customHeight="1" thickTop="1">
      <c r="A8" s="869" t="s">
        <v>344</v>
      </c>
      <c r="B8" s="874"/>
      <c r="C8" s="1086"/>
      <c r="D8" s="1086"/>
      <c r="E8" s="1086"/>
      <c r="F8" s="1086"/>
      <c r="G8" s="1086"/>
      <c r="H8" s="1086"/>
      <c r="I8" s="1086"/>
      <c r="J8" s="1086"/>
      <c r="K8" s="1086"/>
      <c r="L8" s="1086"/>
      <c r="M8" s="1086"/>
      <c r="N8" s="1086"/>
      <c r="O8" s="1086"/>
      <c r="P8" s="1086"/>
      <c r="Q8" s="1086"/>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37597.511646079991</v>
      </c>
      <c r="D10" s="718">
        <f ca="1">tertiair!C16</f>
        <v>0</v>
      </c>
      <c r="E10" s="718">
        <f ca="1">tertiair!D16</f>
        <v>39786.336005561643</v>
      </c>
      <c r="F10" s="718">
        <f>tertiair!E16</f>
        <v>758.88063385073451</v>
      </c>
      <c r="G10" s="718">
        <f ca="1">tertiair!F16</f>
        <v>9962.2933523526663</v>
      </c>
      <c r="H10" s="718">
        <f>tertiair!G16</f>
        <v>0</v>
      </c>
      <c r="I10" s="718">
        <f>tertiair!H16</f>
        <v>0</v>
      </c>
      <c r="J10" s="718">
        <f>tertiair!I16</f>
        <v>0</v>
      </c>
      <c r="K10" s="718">
        <f>tertiair!J16</f>
        <v>0</v>
      </c>
      <c r="L10" s="718">
        <f>tertiair!K16</f>
        <v>0</v>
      </c>
      <c r="M10" s="718">
        <f ca="1">tertiair!L16</f>
        <v>0</v>
      </c>
      <c r="N10" s="718">
        <f>tertiair!M16</f>
        <v>0</v>
      </c>
      <c r="O10" s="718">
        <f ca="1">tertiair!N16</f>
        <v>2870.110045708459</v>
      </c>
      <c r="P10" s="718">
        <f>tertiair!O16</f>
        <v>7.8166666666666664</v>
      </c>
      <c r="Q10" s="719">
        <f>tertiair!P16</f>
        <v>19.066666666666666</v>
      </c>
      <c r="R10" s="721">
        <f ca="1">SUM(C10:Q10)</f>
        <v>91002.015016886813</v>
      </c>
      <c r="S10" s="67"/>
    </row>
    <row r="11" spans="1:19" s="474" customFormat="1">
      <c r="A11" s="870" t="s">
        <v>225</v>
      </c>
      <c r="B11" s="875"/>
      <c r="C11" s="718">
        <f>huishoudens!B8</f>
        <v>27921.564111562526</v>
      </c>
      <c r="D11" s="718">
        <f>huishoudens!C8</f>
        <v>0</v>
      </c>
      <c r="E11" s="718">
        <f>huishoudens!D8</f>
        <v>45496.415076728008</v>
      </c>
      <c r="F11" s="718">
        <f>huishoudens!E8</f>
        <v>1171.1393636620819</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3326.1130415681596</v>
      </c>
      <c r="P11" s="718">
        <f>huishoudens!O8</f>
        <v>106.30666666666667</v>
      </c>
      <c r="Q11" s="719">
        <f>huishoudens!P8</f>
        <v>76.266666666666666</v>
      </c>
      <c r="R11" s="721">
        <f>SUM(C11:Q11)</f>
        <v>78097.804926854107</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5238.3478147599999</v>
      </c>
      <c r="D13" s="718">
        <f>industrie!C18</f>
        <v>0</v>
      </c>
      <c r="E13" s="718">
        <f>industrie!D18</f>
        <v>3792.3424643962003</v>
      </c>
      <c r="F13" s="718">
        <f>industrie!E18</f>
        <v>606.90417225727447</v>
      </c>
      <c r="G13" s="718">
        <f>industrie!F18</f>
        <v>2521.5898333767918</v>
      </c>
      <c r="H13" s="718">
        <f>industrie!G18</f>
        <v>0</v>
      </c>
      <c r="I13" s="718">
        <f>industrie!H18</f>
        <v>0</v>
      </c>
      <c r="J13" s="718">
        <f>industrie!I18</f>
        <v>0</v>
      </c>
      <c r="K13" s="718">
        <f>industrie!J18</f>
        <v>4.0878596010504076</v>
      </c>
      <c r="L13" s="718">
        <f>industrie!K18</f>
        <v>0</v>
      </c>
      <c r="M13" s="718">
        <f>industrie!L18</f>
        <v>0</v>
      </c>
      <c r="N13" s="718">
        <f>industrie!M18</f>
        <v>0</v>
      </c>
      <c r="O13" s="718">
        <f>industrie!N18</f>
        <v>1624.4299689736954</v>
      </c>
      <c r="P13" s="718">
        <f>industrie!O18</f>
        <v>0</v>
      </c>
      <c r="Q13" s="719">
        <f>industrie!P18</f>
        <v>0</v>
      </c>
      <c r="R13" s="721">
        <f>SUM(C13:Q13)</f>
        <v>13787.702113365012</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70757.42357240252</v>
      </c>
      <c r="D15" s="723">
        <f t="shared" ref="D15:Q15" ca="1" si="0">SUM(D9:D14)</f>
        <v>0</v>
      </c>
      <c r="E15" s="723">
        <f t="shared" ca="1" si="0"/>
        <v>89075.09354668585</v>
      </c>
      <c r="F15" s="723">
        <f t="shared" si="0"/>
        <v>2536.9241697700909</v>
      </c>
      <c r="G15" s="723">
        <f t="shared" ca="1" si="0"/>
        <v>12483.883185729457</v>
      </c>
      <c r="H15" s="723">
        <f t="shared" si="0"/>
        <v>0</v>
      </c>
      <c r="I15" s="723">
        <f t="shared" si="0"/>
        <v>0</v>
      </c>
      <c r="J15" s="723">
        <f t="shared" si="0"/>
        <v>0</v>
      </c>
      <c r="K15" s="723">
        <f t="shared" si="0"/>
        <v>4.0878596010504076</v>
      </c>
      <c r="L15" s="723">
        <f t="shared" si="0"/>
        <v>0</v>
      </c>
      <c r="M15" s="723">
        <f t="shared" ca="1" si="0"/>
        <v>0</v>
      </c>
      <c r="N15" s="723">
        <f t="shared" si="0"/>
        <v>0</v>
      </c>
      <c r="O15" s="723">
        <f t="shared" ca="1" si="0"/>
        <v>7820.653056250314</v>
      </c>
      <c r="P15" s="723">
        <f t="shared" si="0"/>
        <v>114.12333333333333</v>
      </c>
      <c r="Q15" s="724">
        <f t="shared" si="0"/>
        <v>95.333333333333329</v>
      </c>
      <c r="R15" s="725">
        <f ca="1">SUM(R9:R14)</f>
        <v>182887.5220571059</v>
      </c>
      <c r="S15" s="67"/>
    </row>
    <row r="16" spans="1:19" s="474" customFormat="1" ht="15.75">
      <c r="A16" s="872" t="s">
        <v>227</v>
      </c>
      <c r="B16" s="768"/>
      <c r="C16" s="1087"/>
      <c r="D16" s="1087"/>
      <c r="E16" s="1087"/>
      <c r="F16" s="1087"/>
      <c r="G16" s="1087"/>
      <c r="H16" s="1087"/>
      <c r="I16" s="1087"/>
      <c r="J16" s="1087"/>
      <c r="K16" s="1087"/>
      <c r="L16" s="1087"/>
      <c r="M16" s="1087"/>
      <c r="N16" s="1087"/>
      <c r="O16" s="1087"/>
      <c r="P16" s="1087"/>
      <c r="Q16" s="1087"/>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824.08022142133916</v>
      </c>
      <c r="D18" s="718">
        <f>transport!C54</f>
        <v>0</v>
      </c>
      <c r="E18" s="718">
        <f>transport!D54</f>
        <v>0</v>
      </c>
      <c r="F18" s="718">
        <f>transport!E54</f>
        <v>0</v>
      </c>
      <c r="G18" s="718">
        <f>transport!F54</f>
        <v>0</v>
      </c>
      <c r="H18" s="718">
        <f>transport!G54</f>
        <v>667.34617283260957</v>
      </c>
      <c r="I18" s="718">
        <f>transport!H54</f>
        <v>0</v>
      </c>
      <c r="J18" s="718">
        <f>transport!I54</f>
        <v>0</v>
      </c>
      <c r="K18" s="718">
        <f>transport!J54</f>
        <v>0</v>
      </c>
      <c r="L18" s="718">
        <f>transport!K54</f>
        <v>0</v>
      </c>
      <c r="M18" s="718">
        <f>transport!L54</f>
        <v>0</v>
      </c>
      <c r="N18" s="718">
        <f>transport!M54</f>
        <v>20.699585306363101</v>
      </c>
      <c r="O18" s="718">
        <f>transport!N54</f>
        <v>0</v>
      </c>
      <c r="P18" s="718">
        <f>transport!O54</f>
        <v>0</v>
      </c>
      <c r="Q18" s="719">
        <f>transport!P54</f>
        <v>0</v>
      </c>
      <c r="R18" s="721">
        <f>SUM(C18:Q18)</f>
        <v>1512.1259795603119</v>
      </c>
      <c r="S18" s="67"/>
    </row>
    <row r="19" spans="1:19" s="474" customFormat="1" ht="15" thickBot="1">
      <c r="A19" s="870" t="s">
        <v>307</v>
      </c>
      <c r="B19" s="875"/>
      <c r="C19" s="727">
        <f>transport!B14</f>
        <v>23.294850298128651</v>
      </c>
      <c r="D19" s="727">
        <f>transport!C14</f>
        <v>0</v>
      </c>
      <c r="E19" s="727">
        <f>transport!D14</f>
        <v>48.896800928206616</v>
      </c>
      <c r="F19" s="727">
        <f>transport!E14</f>
        <v>216.24156864036564</v>
      </c>
      <c r="G19" s="727">
        <f>transport!F14</f>
        <v>0</v>
      </c>
      <c r="H19" s="727">
        <f>transport!G14</f>
        <v>102229.32303603175</v>
      </c>
      <c r="I19" s="727">
        <f>transport!H14</f>
        <v>13519.117703239121</v>
      </c>
      <c r="J19" s="727">
        <f>transport!I14</f>
        <v>0</v>
      </c>
      <c r="K19" s="727">
        <f>transport!J14</f>
        <v>0</v>
      </c>
      <c r="L19" s="727">
        <f>transport!K14</f>
        <v>0</v>
      </c>
      <c r="M19" s="727">
        <f>transport!L14</f>
        <v>0</v>
      </c>
      <c r="N19" s="727">
        <f>transport!M14</f>
        <v>3625.580989711088</v>
      </c>
      <c r="O19" s="727">
        <f>transport!N14</f>
        <v>0</v>
      </c>
      <c r="P19" s="727">
        <f>transport!O14</f>
        <v>0</v>
      </c>
      <c r="Q19" s="728">
        <f>transport!P14</f>
        <v>0</v>
      </c>
      <c r="R19" s="729">
        <f>SUM(C19:Q19)</f>
        <v>119662.45494884865</v>
      </c>
      <c r="S19" s="67"/>
    </row>
    <row r="20" spans="1:19" s="474" customFormat="1" ht="15.75" thickBot="1">
      <c r="A20" s="730" t="s">
        <v>230</v>
      </c>
      <c r="B20" s="878"/>
      <c r="C20" s="873">
        <f>SUM(C17:C19)</f>
        <v>847.37507171946777</v>
      </c>
      <c r="D20" s="731">
        <f t="shared" ref="D20:R20" si="1">SUM(D17:D19)</f>
        <v>0</v>
      </c>
      <c r="E20" s="731">
        <f t="shared" si="1"/>
        <v>48.896800928206616</v>
      </c>
      <c r="F20" s="731">
        <f t="shared" si="1"/>
        <v>216.24156864036564</v>
      </c>
      <c r="G20" s="731">
        <f t="shared" si="1"/>
        <v>0</v>
      </c>
      <c r="H20" s="731">
        <f t="shared" si="1"/>
        <v>102896.66920886436</v>
      </c>
      <c r="I20" s="731">
        <f t="shared" si="1"/>
        <v>13519.117703239121</v>
      </c>
      <c r="J20" s="731">
        <f t="shared" si="1"/>
        <v>0</v>
      </c>
      <c r="K20" s="731">
        <f t="shared" si="1"/>
        <v>0</v>
      </c>
      <c r="L20" s="731">
        <f t="shared" si="1"/>
        <v>0</v>
      </c>
      <c r="M20" s="731">
        <f t="shared" si="1"/>
        <v>0</v>
      </c>
      <c r="N20" s="731">
        <f t="shared" si="1"/>
        <v>3646.2805750174512</v>
      </c>
      <c r="O20" s="731">
        <f t="shared" si="1"/>
        <v>0</v>
      </c>
      <c r="P20" s="731">
        <f t="shared" si="1"/>
        <v>0</v>
      </c>
      <c r="Q20" s="732">
        <f t="shared" si="1"/>
        <v>0</v>
      </c>
      <c r="R20" s="733">
        <f t="shared" si="1"/>
        <v>121174.58092840896</v>
      </c>
      <c r="S20" s="67"/>
    </row>
    <row r="21" spans="1:19" s="474" customFormat="1" ht="15.75">
      <c r="A21" s="872" t="s">
        <v>237</v>
      </c>
      <c r="B21" s="768"/>
      <c r="C21" s="1087"/>
      <c r="D21" s="1087"/>
      <c r="E21" s="1087"/>
      <c r="F21" s="1087"/>
      <c r="G21" s="1087"/>
      <c r="H21" s="1087"/>
      <c r="I21" s="1087"/>
      <c r="J21" s="1087"/>
      <c r="K21" s="1087"/>
      <c r="L21" s="1087"/>
      <c r="M21" s="1087"/>
      <c r="N21" s="1087"/>
      <c r="O21" s="1087"/>
      <c r="P21" s="1087"/>
      <c r="Q21" s="1087"/>
      <c r="R21" s="726"/>
      <c r="S21" s="67"/>
    </row>
    <row r="22" spans="1:19" s="474" customFormat="1" ht="15" thickBot="1">
      <c r="A22" s="870" t="s">
        <v>636</v>
      </c>
      <c r="B22" s="879"/>
      <c r="C22" s="727">
        <f>+landbouw!B8</f>
        <v>1129.2896367070002</v>
      </c>
      <c r="D22" s="727">
        <f>+landbouw!C8</f>
        <v>0</v>
      </c>
      <c r="E22" s="727">
        <f>+landbouw!D8</f>
        <v>7744.568878785949</v>
      </c>
      <c r="F22" s="727">
        <f>+landbouw!E8</f>
        <v>29.120043759770805</v>
      </c>
      <c r="G22" s="727">
        <f>+landbouw!F8</f>
        <v>4127.7686849282627</v>
      </c>
      <c r="H22" s="727">
        <f>+landbouw!G8</f>
        <v>0</v>
      </c>
      <c r="I22" s="727">
        <f>+landbouw!H8</f>
        <v>0</v>
      </c>
      <c r="J22" s="727">
        <f>+landbouw!I8</f>
        <v>0</v>
      </c>
      <c r="K22" s="727">
        <f>+landbouw!J8</f>
        <v>162.57616489520518</v>
      </c>
      <c r="L22" s="727">
        <f>+landbouw!K8</f>
        <v>0</v>
      </c>
      <c r="M22" s="727">
        <f>+landbouw!L8</f>
        <v>0</v>
      </c>
      <c r="N22" s="727">
        <f>+landbouw!M8</f>
        <v>0</v>
      </c>
      <c r="O22" s="727">
        <f>+landbouw!N8</f>
        <v>0</v>
      </c>
      <c r="P22" s="727">
        <f>+landbouw!O8</f>
        <v>0</v>
      </c>
      <c r="Q22" s="728">
        <f>+landbouw!P8</f>
        <v>0</v>
      </c>
      <c r="R22" s="729">
        <f>SUM(C22:Q22)</f>
        <v>13193.323409076189</v>
      </c>
      <c r="S22" s="67"/>
    </row>
    <row r="23" spans="1:19" s="474" customFormat="1" ht="17.25" thickTop="1" thickBot="1">
      <c r="A23" s="734" t="s">
        <v>116</v>
      </c>
      <c r="B23" s="864"/>
      <c r="C23" s="735">
        <f ca="1">C20+C15+C22</f>
        <v>72734.08828082899</v>
      </c>
      <c r="D23" s="735">
        <f t="shared" ref="D23:Q23" ca="1" si="2">D20+D15+D22</f>
        <v>0</v>
      </c>
      <c r="E23" s="735">
        <f t="shared" ca="1" si="2"/>
        <v>96868.559226400015</v>
      </c>
      <c r="F23" s="735">
        <f t="shared" si="2"/>
        <v>2782.2857821702273</v>
      </c>
      <c r="G23" s="735">
        <f t="shared" ca="1" si="2"/>
        <v>16611.651870657719</v>
      </c>
      <c r="H23" s="735">
        <f t="shared" si="2"/>
        <v>102896.66920886436</v>
      </c>
      <c r="I23" s="735">
        <f t="shared" si="2"/>
        <v>13519.117703239121</v>
      </c>
      <c r="J23" s="735">
        <f t="shared" si="2"/>
        <v>0</v>
      </c>
      <c r="K23" s="735">
        <f t="shared" si="2"/>
        <v>166.66402449625559</v>
      </c>
      <c r="L23" s="735">
        <f t="shared" si="2"/>
        <v>0</v>
      </c>
      <c r="M23" s="735">
        <f t="shared" ca="1" si="2"/>
        <v>0</v>
      </c>
      <c r="N23" s="735">
        <f t="shared" si="2"/>
        <v>3646.2805750174512</v>
      </c>
      <c r="O23" s="735">
        <f t="shared" ca="1" si="2"/>
        <v>7820.653056250314</v>
      </c>
      <c r="P23" s="735">
        <f t="shared" si="2"/>
        <v>114.12333333333333</v>
      </c>
      <c r="Q23" s="736">
        <f t="shared" si="2"/>
        <v>95.333333333333329</v>
      </c>
      <c r="R23" s="737">
        <f ca="1">R20+R15+R22</f>
        <v>317255.42639459105</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88"/>
      <c r="B27" s="1088"/>
      <c r="C27" s="1088"/>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89"/>
      <c r="B29" s="1089"/>
      <c r="C29" s="1089"/>
      <c r="D29" s="1089"/>
      <c r="E29" s="1089"/>
      <c r="F29" s="1089"/>
      <c r="G29" s="1089"/>
      <c r="H29" s="1089"/>
      <c r="I29" s="1089"/>
      <c r="J29" s="1089"/>
      <c r="K29" s="1089"/>
      <c r="L29" s="1089"/>
      <c r="M29" s="1089"/>
      <c r="N29" s="1089"/>
      <c r="O29" s="1089"/>
      <c r="P29" s="1089"/>
      <c r="Q29" s="1089"/>
      <c r="R29" s="108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90"/>
      <c r="B31" s="882"/>
      <c r="C31" s="1092" t="s">
        <v>347</v>
      </c>
      <c r="D31" s="1093"/>
      <c r="E31" s="1093"/>
      <c r="F31" s="1093"/>
      <c r="G31" s="1093"/>
      <c r="H31" s="1093"/>
      <c r="I31" s="1093"/>
      <c r="J31" s="1093"/>
      <c r="K31" s="1093"/>
      <c r="L31" s="1093"/>
      <c r="M31" s="1093"/>
      <c r="N31" s="1093"/>
      <c r="O31" s="1093"/>
      <c r="P31" s="1093"/>
      <c r="Q31" s="1093"/>
      <c r="R31" s="1094"/>
    </row>
    <row r="32" spans="1:19" ht="16.5" thickTop="1">
      <c r="A32" s="1091"/>
      <c r="B32" s="883"/>
      <c r="C32" s="1095" t="s">
        <v>21</v>
      </c>
      <c r="D32" s="1097" t="s">
        <v>232</v>
      </c>
      <c r="E32" s="1099" t="s">
        <v>197</v>
      </c>
      <c r="F32" s="1100"/>
      <c r="G32" s="1100"/>
      <c r="H32" s="1100"/>
      <c r="I32" s="1100"/>
      <c r="J32" s="1100"/>
      <c r="K32" s="1100"/>
      <c r="L32" s="1101"/>
      <c r="M32" s="1099" t="s">
        <v>198</v>
      </c>
      <c r="N32" s="1100"/>
      <c r="O32" s="1100"/>
      <c r="P32" s="1100"/>
      <c r="Q32" s="1100"/>
      <c r="R32" s="1102" t="s">
        <v>116</v>
      </c>
    </row>
    <row r="33" spans="1:18" ht="45.75" thickBot="1">
      <c r="A33" s="1091"/>
      <c r="B33" s="883"/>
      <c r="C33" s="1096"/>
      <c r="D33" s="1098"/>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10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8129.6798727276027</v>
      </c>
      <c r="D36" s="718">
        <f ca="1">tertiair!C20</f>
        <v>0</v>
      </c>
      <c r="E36" s="718">
        <f ca="1">tertiair!D20</f>
        <v>8036.839873123452</v>
      </c>
      <c r="F36" s="718">
        <f>tertiair!E20</f>
        <v>172.26590388411674</v>
      </c>
      <c r="G36" s="718">
        <f ca="1">tertiair!F20</f>
        <v>2659.9323250781622</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18998.717974813335</v>
      </c>
    </row>
    <row r="37" spans="1:18">
      <c r="A37" s="885" t="s">
        <v>225</v>
      </c>
      <c r="B37" s="892"/>
      <c r="C37" s="718">
        <f ca="1">huishoudens!B12</f>
        <v>6037.4574761654503</v>
      </c>
      <c r="D37" s="718">
        <f ca="1">huishoudens!C12</f>
        <v>0</v>
      </c>
      <c r="E37" s="718">
        <f>huishoudens!D12</f>
        <v>9190.2758454990581</v>
      </c>
      <c r="F37" s="718">
        <f>huishoudens!E12</f>
        <v>265.8486355512926</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15493.581957215802</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1132.683758352958</v>
      </c>
      <c r="D39" s="718">
        <f ca="1">industrie!C22</f>
        <v>0</v>
      </c>
      <c r="E39" s="718">
        <f>industrie!D22</f>
        <v>766.0531778080325</v>
      </c>
      <c r="F39" s="718">
        <f>industrie!E22</f>
        <v>137.76724710240131</v>
      </c>
      <c r="G39" s="718">
        <f>industrie!F22</f>
        <v>673.26448551160343</v>
      </c>
      <c r="H39" s="718">
        <f>industrie!G22</f>
        <v>0</v>
      </c>
      <c r="I39" s="718">
        <f>industrie!H22</f>
        <v>0</v>
      </c>
      <c r="J39" s="718">
        <f>industrie!I22</f>
        <v>0</v>
      </c>
      <c r="K39" s="718">
        <f>industrie!J22</f>
        <v>1.4471022987718443</v>
      </c>
      <c r="L39" s="718">
        <f>industrie!K22</f>
        <v>0</v>
      </c>
      <c r="M39" s="718">
        <f>industrie!L22</f>
        <v>0</v>
      </c>
      <c r="N39" s="718">
        <f>industrie!M22</f>
        <v>0</v>
      </c>
      <c r="O39" s="718">
        <f>industrie!N22</f>
        <v>0</v>
      </c>
      <c r="P39" s="718">
        <f>industrie!O22</f>
        <v>0</v>
      </c>
      <c r="Q39" s="828">
        <f>industrie!P22</f>
        <v>0</v>
      </c>
      <c r="R39" s="918">
        <f ca="1">SUM(C39:Q39)</f>
        <v>2711.215771073767</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15299.821107246011</v>
      </c>
      <c r="D41" s="763">
        <f t="shared" ref="D41:R41" ca="1" si="4">SUM(D35:D40)</f>
        <v>0</v>
      </c>
      <c r="E41" s="763">
        <f t="shared" ca="1" si="4"/>
        <v>17993.168896430543</v>
      </c>
      <c r="F41" s="763">
        <f t="shared" si="4"/>
        <v>575.88178653781074</v>
      </c>
      <c r="G41" s="763">
        <f t="shared" ca="1" si="4"/>
        <v>3333.1968105897658</v>
      </c>
      <c r="H41" s="763">
        <f t="shared" si="4"/>
        <v>0</v>
      </c>
      <c r="I41" s="763">
        <f t="shared" si="4"/>
        <v>0</v>
      </c>
      <c r="J41" s="763">
        <f t="shared" si="4"/>
        <v>0</v>
      </c>
      <c r="K41" s="763">
        <f t="shared" si="4"/>
        <v>1.4471022987718443</v>
      </c>
      <c r="L41" s="763">
        <f t="shared" si="4"/>
        <v>0</v>
      </c>
      <c r="M41" s="763">
        <f t="shared" ca="1" si="4"/>
        <v>0</v>
      </c>
      <c r="N41" s="763">
        <f t="shared" si="4"/>
        <v>0</v>
      </c>
      <c r="O41" s="763">
        <f t="shared" ca="1" si="4"/>
        <v>0</v>
      </c>
      <c r="P41" s="763">
        <f t="shared" si="4"/>
        <v>0</v>
      </c>
      <c r="Q41" s="764">
        <f t="shared" si="4"/>
        <v>0</v>
      </c>
      <c r="R41" s="765">
        <f t="shared" ca="1" si="4"/>
        <v>37203.515703102901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178.19020717825813</v>
      </c>
      <c r="D44" s="718">
        <f ca="1">transport!C58</f>
        <v>0</v>
      </c>
      <c r="E44" s="718">
        <f>transport!D58</f>
        <v>0</v>
      </c>
      <c r="F44" s="718">
        <f>transport!E58</f>
        <v>0</v>
      </c>
      <c r="G44" s="718">
        <f>transport!F58</f>
        <v>0</v>
      </c>
      <c r="H44" s="718">
        <f>transport!G58</f>
        <v>178.18142814630676</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356.37163532456486</v>
      </c>
    </row>
    <row r="45" spans="1:18" ht="15" thickBot="1">
      <c r="A45" s="888" t="s">
        <v>307</v>
      </c>
      <c r="B45" s="898"/>
      <c r="C45" s="727">
        <f ca="1">transport!B18</f>
        <v>5.037026848734131</v>
      </c>
      <c r="D45" s="727">
        <f>transport!C18</f>
        <v>0</v>
      </c>
      <c r="E45" s="727">
        <f>transport!D18</f>
        <v>9.877153787497738</v>
      </c>
      <c r="F45" s="727">
        <f>transport!E18</f>
        <v>49.086836081363003</v>
      </c>
      <c r="G45" s="727">
        <f>transport!F18</f>
        <v>0</v>
      </c>
      <c r="H45" s="727">
        <f>transport!G18</f>
        <v>27295.229250620479</v>
      </c>
      <c r="I45" s="727">
        <f>transport!H18</f>
        <v>3366.2603081065408</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30725.490575444615</v>
      </c>
    </row>
    <row r="46" spans="1:18" ht="15.75" thickBot="1">
      <c r="A46" s="886" t="s">
        <v>230</v>
      </c>
      <c r="B46" s="899"/>
      <c r="C46" s="763">
        <f t="shared" ref="C46:R46" ca="1" si="5">SUM(C43:C45)</f>
        <v>183.22723402699228</v>
      </c>
      <c r="D46" s="763">
        <f t="shared" ca="1" si="5"/>
        <v>0</v>
      </c>
      <c r="E46" s="763">
        <f t="shared" si="5"/>
        <v>9.877153787497738</v>
      </c>
      <c r="F46" s="763">
        <f t="shared" si="5"/>
        <v>49.086836081363003</v>
      </c>
      <c r="G46" s="763">
        <f t="shared" si="5"/>
        <v>0</v>
      </c>
      <c r="H46" s="763">
        <f t="shared" si="5"/>
        <v>27473.410678766788</v>
      </c>
      <c r="I46" s="763">
        <f t="shared" si="5"/>
        <v>3366.2603081065408</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31081.862210769181</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244.18539493886891</v>
      </c>
      <c r="D48" s="718">
        <f ca="1">+landbouw!C12</f>
        <v>0</v>
      </c>
      <c r="E48" s="718">
        <f>+landbouw!D12</f>
        <v>1564.4029135147618</v>
      </c>
      <c r="F48" s="718">
        <f>+landbouw!E12</f>
        <v>6.6102499334679727</v>
      </c>
      <c r="G48" s="718">
        <f>+landbouw!F12</f>
        <v>1102.1142388758462</v>
      </c>
      <c r="H48" s="718">
        <f>+landbouw!G12</f>
        <v>0</v>
      </c>
      <c r="I48" s="718">
        <f>+landbouw!H12</f>
        <v>0</v>
      </c>
      <c r="J48" s="718">
        <f>+landbouw!I12</f>
        <v>0</v>
      </c>
      <c r="K48" s="718">
        <f>+landbouw!J12</f>
        <v>57.551962372902629</v>
      </c>
      <c r="L48" s="718">
        <f>+landbouw!K12</f>
        <v>0</v>
      </c>
      <c r="M48" s="718">
        <f>+landbouw!L12</f>
        <v>0</v>
      </c>
      <c r="N48" s="718">
        <f>+landbouw!M12</f>
        <v>0</v>
      </c>
      <c r="O48" s="718">
        <f>+landbouw!N12</f>
        <v>0</v>
      </c>
      <c r="P48" s="718">
        <f>+landbouw!O12</f>
        <v>0</v>
      </c>
      <c r="Q48" s="719">
        <f>+landbouw!P12</f>
        <v>0</v>
      </c>
      <c r="R48" s="761">
        <f ca="1">SUM(C48:Q48)</f>
        <v>2974.8647596358478</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113"/>
      <c r="D50" s="1114"/>
      <c r="E50" s="1114"/>
      <c r="F50" s="1114"/>
      <c r="G50" s="1114"/>
      <c r="H50" s="1114"/>
      <c r="I50" s="1114"/>
      <c r="J50" s="1114"/>
      <c r="K50" s="1114"/>
      <c r="L50" s="1114"/>
      <c r="M50" s="1114"/>
      <c r="N50" s="1114"/>
      <c r="O50" s="1114"/>
      <c r="P50" s="1114"/>
      <c r="Q50" s="1114"/>
      <c r="R50" s="770"/>
    </row>
    <row r="51" spans="1:18" ht="15">
      <c r="A51" s="890" t="s">
        <v>239</v>
      </c>
      <c r="B51" s="875"/>
      <c r="C51" s="1115"/>
      <c r="D51" s="1116"/>
      <c r="E51" s="1116"/>
      <c r="F51" s="1116"/>
      <c r="G51" s="1116"/>
      <c r="H51" s="1116"/>
      <c r="I51" s="1116"/>
      <c r="J51" s="1116"/>
      <c r="K51" s="1116"/>
      <c r="L51" s="1116"/>
      <c r="M51" s="1116"/>
      <c r="N51" s="1116"/>
      <c r="O51" s="1116"/>
      <c r="P51" s="1116"/>
      <c r="Q51" s="1116"/>
      <c r="R51" s="771"/>
    </row>
    <row r="52" spans="1:18" ht="15" thickBot="1">
      <c r="A52" s="902" t="s">
        <v>240</v>
      </c>
      <c r="B52" s="903"/>
      <c r="C52" s="1115"/>
      <c r="D52" s="1116"/>
      <c r="E52" s="1116"/>
      <c r="F52" s="1116"/>
      <c r="G52" s="1116"/>
      <c r="H52" s="1116"/>
      <c r="I52" s="1116"/>
      <c r="J52" s="1116"/>
      <c r="K52" s="1116"/>
      <c r="L52" s="1116"/>
      <c r="M52" s="1116"/>
      <c r="N52" s="1116"/>
      <c r="O52" s="1116"/>
      <c r="P52" s="1116"/>
      <c r="Q52" s="1116"/>
      <c r="R52" s="762"/>
    </row>
    <row r="53" spans="1:18" ht="16.5" thickBot="1">
      <c r="A53" s="906" t="s">
        <v>116</v>
      </c>
      <c r="B53" s="907"/>
      <c r="C53" s="772">
        <f ca="1">C41+C46+C48</f>
        <v>15727.233736211872</v>
      </c>
      <c r="D53" s="773">
        <f t="shared" ref="D53:Q53" ca="1" si="6">D41+D46+D48</f>
        <v>0</v>
      </c>
      <c r="E53" s="773">
        <f t="shared" ca="1" si="6"/>
        <v>19567.448963732801</v>
      </c>
      <c r="F53" s="773">
        <f t="shared" si="6"/>
        <v>631.57887255264177</v>
      </c>
      <c r="G53" s="773">
        <f t="shared" ca="1" si="6"/>
        <v>4435.3110494656121</v>
      </c>
      <c r="H53" s="773">
        <f t="shared" si="6"/>
        <v>27473.410678766788</v>
      </c>
      <c r="I53" s="773">
        <f t="shared" si="6"/>
        <v>3366.2603081065408</v>
      </c>
      <c r="J53" s="773">
        <f t="shared" si="6"/>
        <v>0</v>
      </c>
      <c r="K53" s="773">
        <f t="shared" si="6"/>
        <v>58.999064671674475</v>
      </c>
      <c r="L53" s="773">
        <f t="shared" si="6"/>
        <v>0</v>
      </c>
      <c r="M53" s="773">
        <f t="shared" ca="1" si="6"/>
        <v>0</v>
      </c>
      <c r="N53" s="773">
        <f t="shared" si="6"/>
        <v>0</v>
      </c>
      <c r="O53" s="773">
        <f t="shared" ca="1" si="6"/>
        <v>0</v>
      </c>
      <c r="P53" s="773">
        <f>P41+P46+P48</f>
        <v>0</v>
      </c>
      <c r="Q53" s="774">
        <f t="shared" si="6"/>
        <v>0</v>
      </c>
      <c r="R53" s="775">
        <f ca="1">R41+R46+R48</f>
        <v>71260.242673507935</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0.21622920019961542</v>
      </c>
      <c r="D55" s="836">
        <f t="shared" ca="1" si="7"/>
        <v>0</v>
      </c>
      <c r="E55" s="836">
        <f t="shared" ca="1" si="7"/>
        <v>0.20199999999999999</v>
      </c>
      <c r="F55" s="836">
        <f t="shared" si="7"/>
        <v>0.22700000000000006</v>
      </c>
      <c r="G55" s="836">
        <f t="shared" ca="1" si="7"/>
        <v>0.26700000000000007</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89"/>
      <c r="B59" s="1089"/>
      <c r="C59" s="1089"/>
      <c r="D59" s="1089"/>
      <c r="E59" s="1089"/>
      <c r="F59" s="1089"/>
      <c r="G59" s="1089"/>
      <c r="H59" s="1089"/>
      <c r="I59" s="1089"/>
      <c r="J59" s="1089"/>
      <c r="K59" s="1089"/>
      <c r="L59" s="1089"/>
      <c r="M59" s="1089"/>
      <c r="N59" s="1089"/>
      <c r="O59" s="1089"/>
      <c r="P59" s="1089"/>
      <c r="Q59" s="108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102" t="s">
        <v>241</v>
      </c>
      <c r="B61" s="1127" t="s">
        <v>351</v>
      </c>
      <c r="C61" s="1118"/>
      <c r="D61" s="1124" t="s">
        <v>352</v>
      </c>
      <c r="E61" s="1125"/>
      <c r="F61" s="1125"/>
      <c r="G61" s="1125"/>
      <c r="H61" s="1125"/>
      <c r="I61" s="1125"/>
      <c r="J61" s="1125"/>
      <c r="K61" s="1125"/>
      <c r="L61" s="1125"/>
      <c r="M61" s="1126"/>
      <c r="N61" s="1118" t="s">
        <v>645</v>
      </c>
      <c r="O61" s="1129" t="s">
        <v>644</v>
      </c>
      <c r="P61" s="1130"/>
      <c r="Q61" s="785"/>
      <c r="R61" s="742"/>
    </row>
    <row r="62" spans="1:18" ht="31.5" thickTop="1" thickBot="1">
      <c r="A62" s="1117"/>
      <c r="B62" s="1128"/>
      <c r="C62" s="1120"/>
      <c r="D62" s="1121" t="s">
        <v>197</v>
      </c>
      <c r="E62" s="1122"/>
      <c r="F62" s="1122"/>
      <c r="G62" s="1122"/>
      <c r="H62" s="1123"/>
      <c r="I62" s="786" t="s">
        <v>245</v>
      </c>
      <c r="J62" s="787" t="s">
        <v>246</v>
      </c>
      <c r="K62" s="787" t="s">
        <v>234</v>
      </c>
      <c r="L62" s="787" t="s">
        <v>247</v>
      </c>
      <c r="M62" s="1134" t="s">
        <v>127</v>
      </c>
      <c r="N62" s="1119"/>
      <c r="O62" s="926"/>
      <c r="P62" s="927"/>
      <c r="Q62" s="785"/>
      <c r="R62" s="742"/>
    </row>
    <row r="63" spans="1:18" ht="95.25" customHeight="1" thickTop="1" thickBot="1">
      <c r="A63" s="1103"/>
      <c r="B63" s="854" t="s">
        <v>558</v>
      </c>
      <c r="C63" s="854" t="s">
        <v>643</v>
      </c>
      <c r="D63" s="788" t="s">
        <v>199</v>
      </c>
      <c r="E63" s="789" t="s">
        <v>200</v>
      </c>
      <c r="F63" s="790" t="s">
        <v>201</v>
      </c>
      <c r="G63" s="791" t="s">
        <v>203</v>
      </c>
      <c r="H63" s="792" t="s">
        <v>204</v>
      </c>
      <c r="I63" s="793"/>
      <c r="J63" s="789"/>
      <c r="K63" s="789"/>
      <c r="L63" s="789"/>
      <c r="M63" s="1135"/>
      <c r="N63" s="1120"/>
      <c r="O63" s="857" t="s">
        <v>646</v>
      </c>
      <c r="P63" s="855" t="s">
        <v>647</v>
      </c>
      <c r="Q63" s="785"/>
      <c r="R63" s="742"/>
    </row>
    <row r="64" spans="1:18" ht="15.75" thickTop="1">
      <c r="A64" s="794" t="s">
        <v>249</v>
      </c>
      <c r="B64" s="908">
        <f>'lokale energieproductie'!B4</f>
        <v>0</v>
      </c>
      <c r="C64" s="795">
        <f>'lokale energieproductie'!B4</f>
        <v>0</v>
      </c>
      <c r="D64" s="1136"/>
      <c r="E64" s="1104"/>
      <c r="F64" s="1104"/>
      <c r="G64" s="1107"/>
      <c r="H64" s="1110"/>
      <c r="I64" s="796"/>
      <c r="J64" s="796"/>
      <c r="K64" s="796"/>
      <c r="L64" s="796"/>
      <c r="M64" s="1131"/>
      <c r="N64" s="921">
        <v>0</v>
      </c>
      <c r="O64" s="928"/>
      <c r="P64" s="921">
        <v>0</v>
      </c>
      <c r="Q64" s="785"/>
      <c r="R64" s="783"/>
    </row>
    <row r="65" spans="1:18" ht="15">
      <c r="A65" s="797" t="s">
        <v>250</v>
      </c>
      <c r="B65" s="794">
        <f>'lokale energieproductie'!B5</f>
        <v>0</v>
      </c>
      <c r="C65" s="795">
        <f>'lokale energieproductie'!B5</f>
        <v>0</v>
      </c>
      <c r="D65" s="1137"/>
      <c r="E65" s="1105"/>
      <c r="F65" s="1105"/>
      <c r="G65" s="1108"/>
      <c r="H65" s="1111"/>
      <c r="I65" s="798"/>
      <c r="J65" s="798"/>
      <c r="K65" s="798"/>
      <c r="L65" s="798"/>
      <c r="M65" s="1132"/>
      <c r="N65" s="922">
        <v>0</v>
      </c>
      <c r="O65" s="928"/>
      <c r="P65" s="922">
        <v>0</v>
      </c>
      <c r="Q65" s="785"/>
      <c r="R65" s="748"/>
    </row>
    <row r="66" spans="1:18" ht="15">
      <c r="A66" s="797" t="s">
        <v>251</v>
      </c>
      <c r="B66" s="794">
        <f>'lokale energieproductie'!B6</f>
        <v>1570.1347233091956</v>
      </c>
      <c r="C66" s="795">
        <f>'lokale energieproductie'!B6</f>
        <v>1570.1347233091956</v>
      </c>
      <c r="D66" s="1138"/>
      <c r="E66" s="1106"/>
      <c r="F66" s="1106"/>
      <c r="G66" s="1109"/>
      <c r="H66" s="1112"/>
      <c r="I66" s="799"/>
      <c r="J66" s="799"/>
      <c r="K66" s="799"/>
      <c r="L66" s="799"/>
      <c r="M66" s="1133"/>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1570.1347233091956</v>
      </c>
      <c r="C69" s="803">
        <f>SUM(C64:C68)</f>
        <v>1570.1347233091956</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89"/>
      <c r="B73" s="1089"/>
      <c r="C73" s="1089"/>
      <c r="D73" s="1089"/>
      <c r="E73" s="1089"/>
      <c r="F73" s="1089"/>
      <c r="G73" s="1089"/>
      <c r="H73" s="1089"/>
      <c r="I73" s="1089"/>
      <c r="J73" s="1089"/>
      <c r="K73" s="1089"/>
      <c r="L73" s="1089"/>
      <c r="M73" s="1089"/>
      <c r="N73" s="1089"/>
      <c r="O73" s="1089"/>
      <c r="P73" s="108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102" t="s">
        <v>253</v>
      </c>
      <c r="B75" s="1127" t="s">
        <v>355</v>
      </c>
      <c r="C75" s="1118"/>
      <c r="D75" s="1124" t="s">
        <v>356</v>
      </c>
      <c r="E75" s="1125"/>
      <c r="F75" s="1125"/>
      <c r="G75" s="1125"/>
      <c r="H75" s="1125"/>
      <c r="I75" s="1125"/>
      <c r="J75" s="1125"/>
      <c r="K75" s="1125"/>
      <c r="L75" s="1125"/>
      <c r="M75" s="1126"/>
      <c r="N75" s="1118" t="s">
        <v>645</v>
      </c>
      <c r="O75" s="1127" t="s">
        <v>644</v>
      </c>
      <c r="P75" s="1118"/>
      <c r="Q75" s="812"/>
      <c r="R75" s="742"/>
    </row>
    <row r="76" spans="1:18" ht="16.5" thickTop="1" thickBot="1">
      <c r="A76" s="1117"/>
      <c r="B76" s="1144"/>
      <c r="C76" s="1119"/>
      <c r="D76" s="1139" t="s">
        <v>197</v>
      </c>
      <c r="E76" s="1140"/>
      <c r="F76" s="1140"/>
      <c r="G76" s="1140"/>
      <c r="H76" s="1141"/>
      <c r="I76" s="1142" t="s">
        <v>245</v>
      </c>
      <c r="J76" s="1142" t="s">
        <v>246</v>
      </c>
      <c r="K76" s="1097" t="s">
        <v>234</v>
      </c>
      <c r="L76" s="1146" t="s">
        <v>257</v>
      </c>
      <c r="M76" s="1134" t="s">
        <v>127</v>
      </c>
      <c r="N76" s="1119"/>
      <c r="O76" s="926"/>
      <c r="P76" s="927"/>
      <c r="Q76" s="812"/>
      <c r="R76" s="742"/>
    </row>
    <row r="77" spans="1:18" ht="110.25" customHeight="1" thickTop="1" thickBot="1">
      <c r="A77" s="1103"/>
      <c r="B77" s="909" t="s">
        <v>558</v>
      </c>
      <c r="C77" s="909" t="s">
        <v>643</v>
      </c>
      <c r="D77" s="813" t="s">
        <v>199</v>
      </c>
      <c r="E77" s="789" t="s">
        <v>200</v>
      </c>
      <c r="F77" s="814" t="s">
        <v>201</v>
      </c>
      <c r="G77" s="789" t="s">
        <v>203</v>
      </c>
      <c r="H77" s="815" t="s">
        <v>204</v>
      </c>
      <c r="I77" s="1143"/>
      <c r="J77" s="1143"/>
      <c r="K77" s="1145"/>
      <c r="L77" s="1098"/>
      <c r="M77" s="1147"/>
      <c r="N77" s="1120"/>
      <c r="O77" s="857" t="s">
        <v>646</v>
      </c>
      <c r="P77" s="855" t="s">
        <v>647</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22" sqref="C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787</v>
      </c>
      <c r="D6" s="1010" t="s">
        <v>718</v>
      </c>
    </row>
    <row r="7" spans="1:4" s="959" customFormat="1">
      <c r="A7" s="959" t="s">
        <v>691</v>
      </c>
      <c r="B7" s="1009">
        <v>42877</v>
      </c>
      <c r="C7" s="958" t="s">
        <v>788</v>
      </c>
      <c r="D7" s="1010" t="s">
        <v>719</v>
      </c>
    </row>
    <row r="8" spans="1:4" s="959" customFormat="1">
      <c r="A8" s="959" t="s">
        <v>691</v>
      </c>
      <c r="B8" s="1009">
        <v>42877</v>
      </c>
      <c r="C8" s="958" t="s">
        <v>789</v>
      </c>
      <c r="D8" s="1010" t="s">
        <v>720</v>
      </c>
    </row>
    <row r="9" spans="1:4" s="7" customFormat="1">
      <c r="A9" s="959" t="s">
        <v>691</v>
      </c>
      <c r="B9" s="1009">
        <v>42877</v>
      </c>
      <c r="C9" s="958" t="s">
        <v>722</v>
      </c>
      <c r="D9" s="1010" t="s">
        <v>721</v>
      </c>
    </row>
    <row r="10" spans="1:4" s="7" customFormat="1">
      <c r="A10" s="959" t="s">
        <v>774</v>
      </c>
      <c r="B10" s="985">
        <v>43167</v>
      </c>
      <c r="C10" s="985" t="s">
        <v>775</v>
      </c>
      <c r="D10" s="1010" t="s">
        <v>776</v>
      </c>
    </row>
    <row r="11" spans="1:4" s="7" customFormat="1">
      <c r="A11" s="959" t="s">
        <v>774</v>
      </c>
      <c r="B11" s="985">
        <v>43167</v>
      </c>
      <c r="C11" s="985" t="s">
        <v>777</v>
      </c>
      <c r="D11" s="1013" t="s">
        <v>778</v>
      </c>
    </row>
    <row r="12" spans="1:4" s="7" customFormat="1">
      <c r="A12" s="959" t="s">
        <v>774</v>
      </c>
      <c r="B12" s="985">
        <v>43167</v>
      </c>
      <c r="C12" s="985" t="s">
        <v>779</v>
      </c>
      <c r="D12" s="1013" t="s">
        <v>780</v>
      </c>
    </row>
    <row r="13" spans="1:4" s="7" customFormat="1">
      <c r="A13" s="959" t="s">
        <v>774</v>
      </c>
      <c r="B13" s="985">
        <v>43167</v>
      </c>
      <c r="C13" s="985" t="s">
        <v>781</v>
      </c>
      <c r="D13" s="1013" t="s">
        <v>782</v>
      </c>
    </row>
    <row r="14" spans="1:4" s="7" customFormat="1">
      <c r="A14" s="959" t="s">
        <v>774</v>
      </c>
      <c r="B14" s="985">
        <v>43278</v>
      </c>
      <c r="C14" s="985" t="s">
        <v>808</v>
      </c>
      <c r="D14" s="1010"/>
    </row>
    <row r="15" spans="1:4" s="7" customFormat="1">
      <c r="A15" s="959" t="s">
        <v>844</v>
      </c>
      <c r="B15" s="985">
        <v>43425</v>
      </c>
      <c r="C15" s="985" t="s">
        <v>845</v>
      </c>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3" workbookViewId="0">
      <selection activeCell="D26" sqref="D26: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8" t="s">
        <v>553</v>
      </c>
      <c r="B1" s="1149" t="s">
        <v>549</v>
      </c>
      <c r="C1" s="1149"/>
      <c r="D1" s="1149"/>
      <c r="E1" s="1149"/>
      <c r="F1" s="1149"/>
      <c r="G1" s="1149"/>
      <c r="H1" s="1149"/>
      <c r="I1" s="1149"/>
      <c r="J1" s="1149"/>
      <c r="K1" s="1149"/>
      <c r="L1" s="1149"/>
      <c r="M1" s="1149"/>
      <c r="N1" s="1149"/>
      <c r="O1" s="1149"/>
      <c r="P1" s="1150"/>
      <c r="Q1" s="475"/>
    </row>
    <row r="2" spans="1:17">
      <c r="A2" s="1148"/>
      <c r="B2" s="1151" t="s">
        <v>21</v>
      </c>
      <c r="C2" s="1153" t="s">
        <v>196</v>
      </c>
      <c r="D2" s="1155" t="s">
        <v>197</v>
      </c>
      <c r="E2" s="1156"/>
      <c r="F2" s="1156"/>
      <c r="G2" s="1156"/>
      <c r="H2" s="1156"/>
      <c r="I2" s="1156"/>
      <c r="J2" s="1156"/>
      <c r="K2" s="1152"/>
      <c r="L2" s="1155" t="s">
        <v>198</v>
      </c>
      <c r="M2" s="1156"/>
      <c r="N2" s="1156"/>
      <c r="O2" s="1156"/>
      <c r="P2" s="1152"/>
      <c r="Q2" s="475"/>
    </row>
    <row r="3" spans="1:17" ht="45">
      <c r="A3" s="1148"/>
      <c r="B3" s="1152"/>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27921.564111562526</v>
      </c>
      <c r="C4" s="478">
        <f>huishoudens!C8</f>
        <v>0</v>
      </c>
      <c r="D4" s="478">
        <f>huishoudens!D8</f>
        <v>45496.415076728008</v>
      </c>
      <c r="E4" s="478">
        <f>huishoudens!E8</f>
        <v>1171.1393636620819</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3326.1130415681596</v>
      </c>
      <c r="O4" s="478">
        <f>huishoudens!O8</f>
        <v>106.30666666666667</v>
      </c>
      <c r="P4" s="479">
        <f>huishoudens!P8</f>
        <v>76.266666666666666</v>
      </c>
      <c r="Q4" s="480">
        <f>SUM(B4:P4)</f>
        <v>78097.804926854107</v>
      </c>
    </row>
    <row r="5" spans="1:17">
      <c r="A5" s="477" t="s">
        <v>156</v>
      </c>
      <c r="B5" s="478">
        <f ca="1">tertiair!B16</f>
        <v>36546.212646079992</v>
      </c>
      <c r="C5" s="478">
        <f ca="1">tertiair!C16</f>
        <v>0</v>
      </c>
      <c r="D5" s="478">
        <f ca="1">tertiair!D16</f>
        <v>39786.336005561643</v>
      </c>
      <c r="E5" s="478">
        <f>tertiair!E16</f>
        <v>758.88063385073451</v>
      </c>
      <c r="F5" s="478">
        <f ca="1">tertiair!F16</f>
        <v>9962.2933523526663</v>
      </c>
      <c r="G5" s="478">
        <f>tertiair!G16</f>
        <v>0</v>
      </c>
      <c r="H5" s="478">
        <f>tertiair!H16</f>
        <v>0</v>
      </c>
      <c r="I5" s="478">
        <f>tertiair!I16</f>
        <v>0</v>
      </c>
      <c r="J5" s="478">
        <f>tertiair!J16</f>
        <v>0</v>
      </c>
      <c r="K5" s="478">
        <f>tertiair!K16</f>
        <v>0</v>
      </c>
      <c r="L5" s="478">
        <f ca="1">tertiair!L16</f>
        <v>0</v>
      </c>
      <c r="M5" s="478">
        <f>tertiair!M16</f>
        <v>0</v>
      </c>
      <c r="N5" s="478">
        <f ca="1">tertiair!N16</f>
        <v>2870.110045708459</v>
      </c>
      <c r="O5" s="478">
        <f>tertiair!O16</f>
        <v>7.8166666666666664</v>
      </c>
      <c r="P5" s="479">
        <f>tertiair!P16</f>
        <v>19.066666666666666</v>
      </c>
      <c r="Q5" s="477">
        <f t="shared" ref="Q5:Q13" ca="1" si="0">SUM(B5:P5)</f>
        <v>89950.716016886814</v>
      </c>
    </row>
    <row r="6" spans="1:17">
      <c r="A6" s="477" t="s">
        <v>194</v>
      </c>
      <c r="B6" s="478">
        <f>'openbare verlichting'!B8</f>
        <v>1051.299</v>
      </c>
      <c r="C6" s="478"/>
      <c r="D6" s="478"/>
      <c r="E6" s="478"/>
      <c r="F6" s="478"/>
      <c r="G6" s="478"/>
      <c r="H6" s="478"/>
      <c r="I6" s="478"/>
      <c r="J6" s="478"/>
      <c r="K6" s="478"/>
      <c r="L6" s="478"/>
      <c r="M6" s="478"/>
      <c r="N6" s="478"/>
      <c r="O6" s="478"/>
      <c r="P6" s="479"/>
      <c r="Q6" s="477">
        <f t="shared" si="0"/>
        <v>1051.299</v>
      </c>
    </row>
    <row r="7" spans="1:17">
      <c r="A7" s="477" t="s">
        <v>112</v>
      </c>
      <c r="B7" s="478">
        <f>landbouw!B8</f>
        <v>1129.2896367070002</v>
      </c>
      <c r="C7" s="478">
        <f>landbouw!C8</f>
        <v>0</v>
      </c>
      <c r="D7" s="478">
        <f>landbouw!D8</f>
        <v>7744.568878785949</v>
      </c>
      <c r="E7" s="478">
        <f>landbouw!E8</f>
        <v>29.120043759770805</v>
      </c>
      <c r="F7" s="478">
        <f>landbouw!F8</f>
        <v>4127.7686849282627</v>
      </c>
      <c r="G7" s="478">
        <f>landbouw!G8</f>
        <v>0</v>
      </c>
      <c r="H7" s="478">
        <f>landbouw!H8</f>
        <v>0</v>
      </c>
      <c r="I7" s="478">
        <f>landbouw!I8</f>
        <v>0</v>
      </c>
      <c r="J7" s="478">
        <f>landbouw!J8</f>
        <v>162.57616489520518</v>
      </c>
      <c r="K7" s="478">
        <f>landbouw!K8</f>
        <v>0</v>
      </c>
      <c r="L7" s="478">
        <f>landbouw!L8</f>
        <v>0</v>
      </c>
      <c r="M7" s="478">
        <f>landbouw!M8</f>
        <v>0</v>
      </c>
      <c r="N7" s="478">
        <f>landbouw!N8</f>
        <v>0</v>
      </c>
      <c r="O7" s="478">
        <f>landbouw!O8</f>
        <v>0</v>
      </c>
      <c r="P7" s="479">
        <f>landbouw!P8</f>
        <v>0</v>
      </c>
      <c r="Q7" s="477">
        <f t="shared" si="0"/>
        <v>13193.323409076189</v>
      </c>
    </row>
    <row r="8" spans="1:17">
      <c r="A8" s="477" t="s">
        <v>638</v>
      </c>
      <c r="B8" s="478">
        <f>industrie!B18</f>
        <v>5238.3478147599999</v>
      </c>
      <c r="C8" s="478">
        <f>industrie!C18</f>
        <v>0</v>
      </c>
      <c r="D8" s="478">
        <f>industrie!D18</f>
        <v>3792.3424643962003</v>
      </c>
      <c r="E8" s="478">
        <f>industrie!E18</f>
        <v>606.90417225727447</v>
      </c>
      <c r="F8" s="478">
        <f>industrie!F18</f>
        <v>2521.5898333767918</v>
      </c>
      <c r="G8" s="478">
        <f>industrie!G18</f>
        <v>0</v>
      </c>
      <c r="H8" s="478">
        <f>industrie!H18</f>
        <v>0</v>
      </c>
      <c r="I8" s="478">
        <f>industrie!I18</f>
        <v>0</v>
      </c>
      <c r="J8" s="478">
        <f>industrie!J18</f>
        <v>4.0878596010504076</v>
      </c>
      <c r="K8" s="478">
        <f>industrie!K18</f>
        <v>0</v>
      </c>
      <c r="L8" s="478">
        <f>industrie!L18</f>
        <v>0</v>
      </c>
      <c r="M8" s="478">
        <f>industrie!M18</f>
        <v>0</v>
      </c>
      <c r="N8" s="478">
        <f>industrie!N18</f>
        <v>1624.4299689736954</v>
      </c>
      <c r="O8" s="478">
        <f>industrie!O18</f>
        <v>0</v>
      </c>
      <c r="P8" s="479">
        <f>industrie!P18</f>
        <v>0</v>
      </c>
      <c r="Q8" s="477">
        <f t="shared" si="0"/>
        <v>13787.702113365012</v>
      </c>
    </row>
    <row r="9" spans="1:17" s="483" customFormat="1">
      <c r="A9" s="481" t="s">
        <v>564</v>
      </c>
      <c r="B9" s="482">
        <f>transport!B14</f>
        <v>23.294850298128651</v>
      </c>
      <c r="C9" s="482"/>
      <c r="D9" s="482">
        <f>transport!D14</f>
        <v>48.896800928206616</v>
      </c>
      <c r="E9" s="482">
        <f>transport!E14</f>
        <v>216.24156864036564</v>
      </c>
      <c r="F9" s="482"/>
      <c r="G9" s="482">
        <f>transport!G14</f>
        <v>102229.32303603175</v>
      </c>
      <c r="H9" s="482">
        <f>transport!H14</f>
        <v>13519.117703239121</v>
      </c>
      <c r="I9" s="482"/>
      <c r="J9" s="482"/>
      <c r="K9" s="482"/>
      <c r="L9" s="482"/>
      <c r="M9" s="482">
        <f>transport!M14</f>
        <v>3625.580989711088</v>
      </c>
      <c r="N9" s="482"/>
      <c r="O9" s="482"/>
      <c r="P9" s="482"/>
      <c r="Q9" s="481">
        <f>SUM(B9:P9)</f>
        <v>119662.45494884865</v>
      </c>
    </row>
    <row r="10" spans="1:17">
      <c r="A10" s="477" t="s">
        <v>554</v>
      </c>
      <c r="B10" s="478">
        <f>transport!B54</f>
        <v>824.08022142133916</v>
      </c>
      <c r="C10" s="478"/>
      <c r="D10" s="478">
        <f>transport!D54</f>
        <v>0</v>
      </c>
      <c r="E10" s="478"/>
      <c r="F10" s="478"/>
      <c r="G10" s="478">
        <f>transport!G54</f>
        <v>667.34617283260957</v>
      </c>
      <c r="H10" s="478"/>
      <c r="I10" s="478"/>
      <c r="J10" s="478"/>
      <c r="K10" s="478"/>
      <c r="L10" s="478"/>
      <c r="M10" s="478">
        <f>transport!M54</f>
        <v>20.699585306363101</v>
      </c>
      <c r="N10" s="478"/>
      <c r="O10" s="478"/>
      <c r="P10" s="479"/>
      <c r="Q10" s="477">
        <f t="shared" si="0"/>
        <v>1512.1259795603119</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558</v>
      </c>
      <c r="B14" s="488">
        <f ca="1">SUM(B4:B13)</f>
        <v>72734.088280828975</v>
      </c>
      <c r="C14" s="488">
        <f t="shared" ref="C14:Q14" ca="1" si="1">SUM(C4:C13)</f>
        <v>0</v>
      </c>
      <c r="D14" s="488">
        <f t="shared" ca="1" si="1"/>
        <v>96868.559226400015</v>
      </c>
      <c r="E14" s="488">
        <f t="shared" si="1"/>
        <v>2782.2857821702273</v>
      </c>
      <c r="F14" s="488">
        <f t="shared" ca="1" si="1"/>
        <v>16611.651870657719</v>
      </c>
      <c r="G14" s="488">
        <f t="shared" si="1"/>
        <v>102896.66920886436</v>
      </c>
      <c r="H14" s="488">
        <f t="shared" si="1"/>
        <v>13519.117703239121</v>
      </c>
      <c r="I14" s="488">
        <f t="shared" si="1"/>
        <v>0</v>
      </c>
      <c r="J14" s="488">
        <f t="shared" si="1"/>
        <v>166.66402449625559</v>
      </c>
      <c r="K14" s="488">
        <f t="shared" si="1"/>
        <v>0</v>
      </c>
      <c r="L14" s="488">
        <f t="shared" ca="1" si="1"/>
        <v>0</v>
      </c>
      <c r="M14" s="488">
        <f t="shared" si="1"/>
        <v>3646.2805750174512</v>
      </c>
      <c r="N14" s="488">
        <f t="shared" ca="1" si="1"/>
        <v>7820.653056250314</v>
      </c>
      <c r="O14" s="488">
        <f t="shared" si="1"/>
        <v>114.12333333333333</v>
      </c>
      <c r="P14" s="489">
        <f t="shared" si="1"/>
        <v>95.333333333333329</v>
      </c>
      <c r="Q14" s="489">
        <f t="shared" ca="1" si="1"/>
        <v>317255.42639459105</v>
      </c>
    </row>
    <row r="16" spans="1:17">
      <c r="A16" s="491" t="s">
        <v>559</v>
      </c>
      <c r="B16" s="841">
        <f ca="1">huishoudens!B10</f>
        <v>0.21622920019961542</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8" t="s">
        <v>561</v>
      </c>
      <c r="B18" s="1149" t="s">
        <v>560</v>
      </c>
      <c r="C18" s="1149"/>
      <c r="D18" s="1149"/>
      <c r="E18" s="1149"/>
      <c r="F18" s="1149"/>
      <c r="G18" s="1149"/>
      <c r="H18" s="1149"/>
      <c r="I18" s="1149"/>
      <c r="J18" s="1149"/>
      <c r="K18" s="1149"/>
      <c r="L18" s="1149"/>
      <c r="M18" s="1149"/>
      <c r="N18" s="1149"/>
      <c r="O18" s="1149"/>
      <c r="P18" s="1150"/>
      <c r="Q18" s="475"/>
    </row>
    <row r="19" spans="1:17" ht="15" customHeight="1">
      <c r="A19" s="1148"/>
      <c r="B19" s="1151" t="s">
        <v>21</v>
      </c>
      <c r="C19" s="1153" t="s">
        <v>196</v>
      </c>
      <c r="D19" s="1155" t="s">
        <v>197</v>
      </c>
      <c r="E19" s="1156"/>
      <c r="F19" s="1156"/>
      <c r="G19" s="1156"/>
      <c r="H19" s="1156"/>
      <c r="I19" s="1156"/>
      <c r="J19" s="1156"/>
      <c r="K19" s="1152"/>
      <c r="L19" s="1155" t="s">
        <v>198</v>
      </c>
      <c r="M19" s="1156"/>
      <c r="N19" s="1156"/>
      <c r="O19" s="1156"/>
      <c r="P19" s="1152"/>
      <c r="Q19" s="475"/>
    </row>
    <row r="20" spans="1:17" ht="45">
      <c r="A20" s="1148"/>
      <c r="B20" s="1152"/>
      <c r="C20" s="115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6037.4574761654503</v>
      </c>
      <c r="C21" s="478">
        <f t="shared" ref="C21:C28" ca="1" si="3">C4*$C$16</f>
        <v>0</v>
      </c>
      <c r="D21" s="478">
        <f t="shared" ref="D21:D30" si="4">D4*$D$16</f>
        <v>9190.2758454990581</v>
      </c>
      <c r="E21" s="478">
        <f t="shared" ref="E21:E30" si="5">E4*$E$16</f>
        <v>265.8486355512926</v>
      </c>
      <c r="F21" s="478">
        <f t="shared" ref="F21:F28" si="6">F4*$F$16</f>
        <v>0</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15493.581957215802</v>
      </c>
    </row>
    <row r="22" spans="1:17">
      <c r="A22" s="477" t="s">
        <v>156</v>
      </c>
      <c r="B22" s="478">
        <f t="shared" ca="1" si="2"/>
        <v>7902.3583307869476</v>
      </c>
      <c r="C22" s="478">
        <f t="shared" ca="1" si="3"/>
        <v>0</v>
      </c>
      <c r="D22" s="478">
        <f t="shared" ca="1" si="4"/>
        <v>8036.839873123452</v>
      </c>
      <c r="E22" s="478">
        <f t="shared" si="5"/>
        <v>172.26590388411674</v>
      </c>
      <c r="F22" s="478">
        <f t="shared" ca="1" si="6"/>
        <v>2659.9323250781622</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18771.39643287268</v>
      </c>
    </row>
    <row r="23" spans="1:17">
      <c r="A23" s="477" t="s">
        <v>194</v>
      </c>
      <c r="B23" s="478">
        <f t="shared" ca="1" si="2"/>
        <v>227.32154194065549</v>
      </c>
      <c r="C23" s="478"/>
      <c r="D23" s="478"/>
      <c r="E23" s="478"/>
      <c r="F23" s="478"/>
      <c r="G23" s="478"/>
      <c r="H23" s="478"/>
      <c r="I23" s="478"/>
      <c r="J23" s="478"/>
      <c r="K23" s="478"/>
      <c r="L23" s="478"/>
      <c r="M23" s="478"/>
      <c r="N23" s="478"/>
      <c r="O23" s="478"/>
      <c r="P23" s="479"/>
      <c r="Q23" s="477">
        <f t="shared" ca="1" si="17"/>
        <v>227.32154194065549</v>
      </c>
    </row>
    <row r="24" spans="1:17">
      <c r="A24" s="477" t="s">
        <v>112</v>
      </c>
      <c r="B24" s="478">
        <f t="shared" ca="1" si="2"/>
        <v>244.18539493886891</v>
      </c>
      <c r="C24" s="478">
        <f t="shared" ca="1" si="3"/>
        <v>0</v>
      </c>
      <c r="D24" s="478">
        <f t="shared" si="4"/>
        <v>1564.4029135147618</v>
      </c>
      <c r="E24" s="478">
        <f t="shared" si="5"/>
        <v>6.6102499334679727</v>
      </c>
      <c r="F24" s="478">
        <f t="shared" si="6"/>
        <v>1102.1142388758462</v>
      </c>
      <c r="G24" s="478">
        <f t="shared" si="7"/>
        <v>0</v>
      </c>
      <c r="H24" s="478">
        <f t="shared" si="8"/>
        <v>0</v>
      </c>
      <c r="I24" s="478">
        <f t="shared" si="9"/>
        <v>0</v>
      </c>
      <c r="J24" s="478">
        <f t="shared" si="10"/>
        <v>57.551962372902629</v>
      </c>
      <c r="K24" s="478">
        <f t="shared" si="11"/>
        <v>0</v>
      </c>
      <c r="L24" s="478">
        <f t="shared" si="12"/>
        <v>0</v>
      </c>
      <c r="M24" s="478">
        <f t="shared" si="13"/>
        <v>0</v>
      </c>
      <c r="N24" s="478">
        <f t="shared" si="14"/>
        <v>0</v>
      </c>
      <c r="O24" s="478">
        <f t="shared" si="15"/>
        <v>0</v>
      </c>
      <c r="P24" s="479">
        <f t="shared" si="16"/>
        <v>0</v>
      </c>
      <c r="Q24" s="477">
        <f t="shared" ca="1" si="17"/>
        <v>2974.8647596358478</v>
      </c>
    </row>
    <row r="25" spans="1:17">
      <c r="A25" s="477" t="s">
        <v>638</v>
      </c>
      <c r="B25" s="478">
        <f t="shared" ca="1" si="2"/>
        <v>1132.683758352958</v>
      </c>
      <c r="C25" s="478">
        <f t="shared" ca="1" si="3"/>
        <v>0</v>
      </c>
      <c r="D25" s="478">
        <f t="shared" si="4"/>
        <v>766.0531778080325</v>
      </c>
      <c r="E25" s="478">
        <f t="shared" si="5"/>
        <v>137.76724710240131</v>
      </c>
      <c r="F25" s="478">
        <f t="shared" si="6"/>
        <v>673.26448551160343</v>
      </c>
      <c r="G25" s="478">
        <f t="shared" si="7"/>
        <v>0</v>
      </c>
      <c r="H25" s="478">
        <f t="shared" si="8"/>
        <v>0</v>
      </c>
      <c r="I25" s="478">
        <f t="shared" si="9"/>
        <v>0</v>
      </c>
      <c r="J25" s="478">
        <f t="shared" si="10"/>
        <v>1.4471022987718443</v>
      </c>
      <c r="K25" s="478">
        <f t="shared" si="11"/>
        <v>0</v>
      </c>
      <c r="L25" s="478">
        <f t="shared" si="12"/>
        <v>0</v>
      </c>
      <c r="M25" s="478">
        <f t="shared" si="13"/>
        <v>0</v>
      </c>
      <c r="N25" s="478">
        <f t="shared" si="14"/>
        <v>0</v>
      </c>
      <c r="O25" s="478">
        <f t="shared" si="15"/>
        <v>0</v>
      </c>
      <c r="P25" s="479">
        <f t="shared" si="16"/>
        <v>0</v>
      </c>
      <c r="Q25" s="477">
        <f t="shared" ca="1" si="17"/>
        <v>2711.215771073767</v>
      </c>
    </row>
    <row r="26" spans="1:17" s="483" customFormat="1">
      <c r="A26" s="481" t="s">
        <v>564</v>
      </c>
      <c r="B26" s="835">
        <f t="shared" ca="1" si="2"/>
        <v>5.037026848734131</v>
      </c>
      <c r="C26" s="482"/>
      <c r="D26" s="482">
        <f t="shared" si="4"/>
        <v>9.877153787497738</v>
      </c>
      <c r="E26" s="482">
        <f t="shared" si="5"/>
        <v>49.086836081363003</v>
      </c>
      <c r="F26" s="482"/>
      <c r="G26" s="482">
        <f t="shared" si="7"/>
        <v>27295.229250620479</v>
      </c>
      <c r="H26" s="482">
        <f t="shared" si="8"/>
        <v>3366.2603081065408</v>
      </c>
      <c r="I26" s="482"/>
      <c r="J26" s="482"/>
      <c r="K26" s="482"/>
      <c r="L26" s="482"/>
      <c r="M26" s="482">
        <f t="shared" si="13"/>
        <v>0</v>
      </c>
      <c r="N26" s="482"/>
      <c r="O26" s="482"/>
      <c r="P26" s="493"/>
      <c r="Q26" s="481">
        <f t="shared" ca="1" si="17"/>
        <v>30725.490575444615</v>
      </c>
    </row>
    <row r="27" spans="1:17">
      <c r="A27" s="477" t="s">
        <v>554</v>
      </c>
      <c r="B27" s="478">
        <f t="shared" ca="1" si="2"/>
        <v>178.19020717825813</v>
      </c>
      <c r="C27" s="478"/>
      <c r="D27" s="482">
        <f t="shared" si="4"/>
        <v>0</v>
      </c>
      <c r="E27" s="478"/>
      <c r="F27" s="478"/>
      <c r="G27" s="478">
        <f t="shared" si="7"/>
        <v>178.18142814630676</v>
      </c>
      <c r="H27" s="478"/>
      <c r="I27" s="478"/>
      <c r="J27" s="478"/>
      <c r="K27" s="478"/>
      <c r="L27" s="478"/>
      <c r="M27" s="478">
        <f t="shared" si="13"/>
        <v>0</v>
      </c>
      <c r="N27" s="478"/>
      <c r="O27" s="478"/>
      <c r="P27" s="479"/>
      <c r="Q27" s="477">
        <f t="shared" ca="1" si="17"/>
        <v>356.37163532456486</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557</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558</v>
      </c>
      <c r="B31" s="488">
        <f t="shared" ref="B31:Q31" ca="1" si="18">SUM(B21:B30)</f>
        <v>15727.233736211874</v>
      </c>
      <c r="C31" s="488">
        <f t="shared" ca="1" si="18"/>
        <v>0</v>
      </c>
      <c r="D31" s="488">
        <f t="shared" ca="1" si="18"/>
        <v>19567.448963732801</v>
      </c>
      <c r="E31" s="488">
        <f t="shared" si="18"/>
        <v>631.57887255264166</v>
      </c>
      <c r="F31" s="488">
        <f t="shared" ca="1" si="18"/>
        <v>4435.3110494656121</v>
      </c>
      <c r="G31" s="488">
        <f t="shared" si="18"/>
        <v>27473.410678766788</v>
      </c>
      <c r="H31" s="488">
        <f t="shared" si="18"/>
        <v>3366.2603081065408</v>
      </c>
      <c r="I31" s="488">
        <f t="shared" si="18"/>
        <v>0</v>
      </c>
      <c r="J31" s="488">
        <f t="shared" si="18"/>
        <v>58.999064671674475</v>
      </c>
      <c r="K31" s="488">
        <f t="shared" si="18"/>
        <v>0</v>
      </c>
      <c r="L31" s="488">
        <f t="shared" ca="1" si="18"/>
        <v>0</v>
      </c>
      <c r="M31" s="488">
        <f t="shared" si="18"/>
        <v>0</v>
      </c>
      <c r="N31" s="488">
        <f t="shared" ca="1" si="18"/>
        <v>0</v>
      </c>
      <c r="O31" s="488">
        <f t="shared" si="18"/>
        <v>0</v>
      </c>
      <c r="P31" s="489">
        <f t="shared" si="18"/>
        <v>0</v>
      </c>
      <c r="Q31" s="489">
        <f t="shared" ca="1" si="18"/>
        <v>71260.242673507935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5" customFormat="1" ht="21">
      <c r="A1" s="1157" t="s">
        <v>553</v>
      </c>
      <c r="B1" s="1158" t="s">
        <v>809</v>
      </c>
      <c r="C1" s="1158"/>
      <c r="D1" s="1158"/>
      <c r="E1" s="1158"/>
      <c r="F1" s="1158"/>
      <c r="G1" s="1158"/>
      <c r="H1" s="1158"/>
      <c r="I1" s="1158"/>
      <c r="J1" s="1158"/>
      <c r="K1" s="1158"/>
      <c r="L1" s="1158"/>
      <c r="M1" s="1158"/>
      <c r="N1" s="1158"/>
      <c r="O1" s="1158"/>
      <c r="P1" s="1159"/>
      <c r="Q1" s="1014"/>
    </row>
    <row r="2" spans="1:17" s="1015" customFormat="1" ht="21">
      <c r="A2" s="1157"/>
      <c r="B2" s="1160" t="s">
        <v>21</v>
      </c>
      <c r="C2" s="1162" t="s">
        <v>196</v>
      </c>
      <c r="D2" s="1164" t="s">
        <v>197</v>
      </c>
      <c r="E2" s="1165"/>
      <c r="F2" s="1165"/>
      <c r="G2" s="1165"/>
      <c r="H2" s="1165"/>
      <c r="I2" s="1165"/>
      <c r="J2" s="1165"/>
      <c r="K2" s="1161"/>
      <c r="L2" s="1164" t="s">
        <v>198</v>
      </c>
      <c r="M2" s="1165"/>
      <c r="N2" s="1165"/>
      <c r="O2" s="1165"/>
      <c r="P2" s="1161"/>
      <c r="Q2" s="1014"/>
    </row>
    <row r="3" spans="1:17" s="1015" customFormat="1" ht="42">
      <c r="A3" s="1157"/>
      <c r="B3" s="1161"/>
      <c r="C3" s="1163"/>
      <c r="D3" s="1016" t="s">
        <v>199</v>
      </c>
      <c r="E3" s="1016" t="s">
        <v>200</v>
      </c>
      <c r="F3" s="1016" t="s">
        <v>201</v>
      </c>
      <c r="G3" s="1016" t="s">
        <v>202</v>
      </c>
      <c r="H3" s="1016" t="s">
        <v>120</v>
      </c>
      <c r="I3" s="1016" t="s">
        <v>203</v>
      </c>
      <c r="J3" s="1016" t="s">
        <v>204</v>
      </c>
      <c r="K3" s="1016" t="s">
        <v>205</v>
      </c>
      <c r="L3" s="1016" t="s">
        <v>206</v>
      </c>
      <c r="M3" s="1016" t="s">
        <v>207</v>
      </c>
      <c r="N3" s="1016" t="s">
        <v>208</v>
      </c>
      <c r="O3" s="1016" t="s">
        <v>209</v>
      </c>
      <c r="P3" s="1016" t="s">
        <v>210</v>
      </c>
      <c r="Q3" s="1014" t="s">
        <v>116</v>
      </c>
    </row>
    <row r="4" spans="1:17" ht="124.35" customHeight="1">
      <c r="A4" s="1017" t="s">
        <v>155</v>
      </c>
      <c r="B4" s="1018" t="s">
        <v>810</v>
      </c>
      <c r="C4" s="1019" t="s">
        <v>811</v>
      </c>
      <c r="D4" s="1020" t="s">
        <v>812</v>
      </c>
      <c r="E4" s="1021" t="s">
        <v>813</v>
      </c>
      <c r="F4" s="1021" t="s">
        <v>814</v>
      </c>
      <c r="G4" s="1022" t="s">
        <v>817</v>
      </c>
      <c r="H4" s="1022" t="s">
        <v>817</v>
      </c>
      <c r="I4" s="1022" t="s">
        <v>817</v>
      </c>
      <c r="J4" s="1021" t="s">
        <v>816</v>
      </c>
      <c r="K4" s="1022" t="s">
        <v>817</v>
      </c>
      <c r="L4" s="1022" t="s">
        <v>817</v>
      </c>
      <c r="M4" s="1022" t="s">
        <v>817</v>
      </c>
      <c r="N4" s="1021" t="s">
        <v>818</v>
      </c>
      <c r="O4" s="1023" t="s">
        <v>819</v>
      </c>
      <c r="P4" s="1024" t="s">
        <v>820</v>
      </c>
      <c r="Q4" s="1025"/>
    </row>
    <row r="5" spans="1:17" ht="124.35" customHeight="1">
      <c r="A5" s="1026" t="s">
        <v>156</v>
      </c>
      <c r="B5" s="1027" t="s">
        <v>821</v>
      </c>
      <c r="C5" s="1028" t="s">
        <v>822</v>
      </c>
      <c r="D5" s="1028" t="s">
        <v>823</v>
      </c>
      <c r="E5" s="1029" t="s">
        <v>824</v>
      </c>
      <c r="F5" s="1029" t="s">
        <v>825</v>
      </c>
      <c r="G5" s="1030" t="s">
        <v>817</v>
      </c>
      <c r="H5" s="1030" t="s">
        <v>817</v>
      </c>
      <c r="I5" s="1030" t="s">
        <v>817</v>
      </c>
      <c r="J5" s="1029" t="s">
        <v>826</v>
      </c>
      <c r="K5" s="1027" t="s">
        <v>827</v>
      </c>
      <c r="L5" s="1030" t="s">
        <v>817</v>
      </c>
      <c r="M5" s="1030" t="s">
        <v>817</v>
      </c>
      <c r="N5" s="1029" t="s">
        <v>828</v>
      </c>
      <c r="O5" s="1031" t="s">
        <v>819</v>
      </c>
      <c r="P5" s="1032" t="s">
        <v>820</v>
      </c>
      <c r="Q5" s="1033"/>
    </row>
    <row r="6" spans="1:17" ht="124.35" customHeight="1">
      <c r="A6" s="1026" t="s">
        <v>194</v>
      </c>
      <c r="B6" s="1034" t="s">
        <v>829</v>
      </c>
      <c r="C6" s="1035" t="s">
        <v>815</v>
      </c>
      <c r="D6" s="1030" t="s">
        <v>815</v>
      </c>
      <c r="E6" s="1030" t="s">
        <v>815</v>
      </c>
      <c r="F6" s="1030" t="s">
        <v>815</v>
      </c>
      <c r="G6" s="1030" t="s">
        <v>815</v>
      </c>
      <c r="H6" s="1030" t="s">
        <v>815</v>
      </c>
      <c r="I6" s="1030" t="s">
        <v>815</v>
      </c>
      <c r="J6" s="1030" t="s">
        <v>815</v>
      </c>
      <c r="K6" s="1030" t="s">
        <v>815</v>
      </c>
      <c r="L6" s="1030" t="s">
        <v>815</v>
      </c>
      <c r="M6" s="1030" t="s">
        <v>815</v>
      </c>
      <c r="N6" s="1030" t="s">
        <v>815</v>
      </c>
      <c r="O6" s="1036" t="s">
        <v>815</v>
      </c>
      <c r="P6" s="1037" t="s">
        <v>815</v>
      </c>
      <c r="Q6" s="1038"/>
    </row>
    <row r="7" spans="1:17" ht="124.35" customHeight="1">
      <c r="A7" s="1026" t="s">
        <v>112</v>
      </c>
      <c r="B7" s="1034" t="s">
        <v>829</v>
      </c>
      <c r="C7" s="1028" t="s">
        <v>822</v>
      </c>
      <c r="D7" s="1028" t="s">
        <v>823</v>
      </c>
      <c r="E7" s="1029" t="s">
        <v>824</v>
      </c>
      <c r="F7" s="1029" t="s">
        <v>825</v>
      </c>
      <c r="G7" s="1030" t="s">
        <v>817</v>
      </c>
      <c r="H7" s="1030" t="s">
        <v>817</v>
      </c>
      <c r="I7" s="1030" t="s">
        <v>817</v>
      </c>
      <c r="J7" s="1029" t="s">
        <v>826</v>
      </c>
      <c r="K7" s="1030" t="s">
        <v>817</v>
      </c>
      <c r="L7" s="1030" t="s">
        <v>817</v>
      </c>
      <c r="M7" s="1030" t="s">
        <v>817</v>
      </c>
      <c r="N7" s="1039" t="s">
        <v>817</v>
      </c>
      <c r="O7" s="1035" t="s">
        <v>817</v>
      </c>
      <c r="P7" s="1040" t="s">
        <v>817</v>
      </c>
      <c r="Q7" s="1033"/>
    </row>
    <row r="8" spans="1:17" ht="124.35" customHeight="1">
      <c r="A8" s="1026" t="s">
        <v>638</v>
      </c>
      <c r="B8" s="1027" t="s">
        <v>830</v>
      </c>
      <c r="C8" s="1028" t="s">
        <v>822</v>
      </c>
      <c r="D8" s="1028" t="s">
        <v>823</v>
      </c>
      <c r="E8" s="1029" t="s">
        <v>824</v>
      </c>
      <c r="F8" s="1029" t="s">
        <v>825</v>
      </c>
      <c r="G8" s="1030" t="s">
        <v>817</v>
      </c>
      <c r="H8" s="1030" t="s">
        <v>817</v>
      </c>
      <c r="I8" s="1030" t="s">
        <v>817</v>
      </c>
      <c r="J8" s="1029" t="s">
        <v>826</v>
      </c>
      <c r="K8" s="1027" t="s">
        <v>827</v>
      </c>
      <c r="L8" s="1030" t="s">
        <v>817</v>
      </c>
      <c r="M8" s="1030" t="s">
        <v>817</v>
      </c>
      <c r="N8" s="1029" t="s">
        <v>828</v>
      </c>
      <c r="O8" s="1031" t="s">
        <v>819</v>
      </c>
      <c r="P8" s="1032" t="s">
        <v>820</v>
      </c>
      <c r="Q8" s="1033"/>
    </row>
    <row r="9" spans="1:17" s="483" customFormat="1" ht="124.35" customHeight="1">
      <c r="A9" s="1041" t="s">
        <v>564</v>
      </c>
      <c r="B9" s="1029" t="s">
        <v>831</v>
      </c>
      <c r="C9" s="1036" t="s">
        <v>815</v>
      </c>
      <c r="D9" s="1029" t="s">
        <v>832</v>
      </c>
      <c r="E9" s="1029" t="s">
        <v>833</v>
      </c>
      <c r="F9" s="1030" t="s">
        <v>815</v>
      </c>
      <c r="G9" s="1029" t="s">
        <v>834</v>
      </c>
      <c r="H9" s="1029" t="s">
        <v>835</v>
      </c>
      <c r="I9" s="1030" t="s">
        <v>815</v>
      </c>
      <c r="J9" s="1030" t="s">
        <v>815</v>
      </c>
      <c r="K9" s="1030" t="s">
        <v>815</v>
      </c>
      <c r="L9" s="1030" t="s">
        <v>815</v>
      </c>
      <c r="M9" s="1029" t="s">
        <v>831</v>
      </c>
      <c r="N9" s="1030" t="s">
        <v>815</v>
      </c>
      <c r="O9" s="1030" t="s">
        <v>815</v>
      </c>
      <c r="P9" s="1042" t="s">
        <v>815</v>
      </c>
      <c r="Q9" s="1043"/>
    </row>
    <row r="10" spans="1:17" ht="124.35" customHeight="1">
      <c r="A10" s="1026" t="s">
        <v>554</v>
      </c>
      <c r="B10" s="1027" t="s">
        <v>846</v>
      </c>
      <c r="C10" s="1036" t="s">
        <v>815</v>
      </c>
      <c r="D10" s="1036" t="s">
        <v>815</v>
      </c>
      <c r="E10" s="1036" t="s">
        <v>815</v>
      </c>
      <c r="F10" s="1030" t="s">
        <v>815</v>
      </c>
      <c r="G10" s="1027" t="s">
        <v>836</v>
      </c>
      <c r="H10" s="1030" t="s">
        <v>815</v>
      </c>
      <c r="I10" s="1030" t="s">
        <v>815</v>
      </c>
      <c r="J10" s="1030" t="s">
        <v>815</v>
      </c>
      <c r="K10" s="1030" t="s">
        <v>815</v>
      </c>
      <c r="L10" s="1030" t="s">
        <v>815</v>
      </c>
      <c r="M10" s="1027" t="s">
        <v>837</v>
      </c>
      <c r="N10" s="1030" t="s">
        <v>815</v>
      </c>
      <c r="O10" s="1030" t="s">
        <v>815</v>
      </c>
      <c r="P10" s="1042" t="s">
        <v>815</v>
      </c>
      <c r="Q10" s="1033"/>
    </row>
    <row r="11" spans="1:17" ht="21">
      <c r="A11" s="1026" t="s">
        <v>555</v>
      </c>
      <c r="B11" s="1044" t="s">
        <v>838</v>
      </c>
      <c r="C11" s="1044" t="s">
        <v>838</v>
      </c>
      <c r="D11" s="1044" t="s">
        <v>838</v>
      </c>
      <c r="E11" s="1044" t="s">
        <v>838</v>
      </c>
      <c r="F11" s="1044" t="s">
        <v>838</v>
      </c>
      <c r="G11" s="1044" t="s">
        <v>838</v>
      </c>
      <c r="H11" s="1044" t="s">
        <v>838</v>
      </c>
      <c r="I11" s="1044" t="s">
        <v>838</v>
      </c>
      <c r="J11" s="1044" t="s">
        <v>838</v>
      </c>
      <c r="K11" s="1044" t="s">
        <v>838</v>
      </c>
      <c r="L11" s="1044" t="s">
        <v>838</v>
      </c>
      <c r="M11" s="1044" t="s">
        <v>838</v>
      </c>
      <c r="N11" s="1044" t="s">
        <v>838</v>
      </c>
      <c r="O11" s="1044" t="s">
        <v>838</v>
      </c>
      <c r="P11" s="1062" t="s">
        <v>838</v>
      </c>
      <c r="Q11" s="1063"/>
    </row>
    <row r="12" spans="1:17" ht="21">
      <c r="A12" s="1026" t="s">
        <v>556</v>
      </c>
      <c r="B12" s="1044" t="s">
        <v>838</v>
      </c>
      <c r="C12" s="1044" t="s">
        <v>815</v>
      </c>
      <c r="D12" s="1044" t="s">
        <v>815</v>
      </c>
      <c r="E12" s="1044" t="s">
        <v>815</v>
      </c>
      <c r="F12" s="1044" t="s">
        <v>815</v>
      </c>
      <c r="G12" s="1044" t="s">
        <v>815</v>
      </c>
      <c r="H12" s="1044" t="s">
        <v>815</v>
      </c>
      <c r="I12" s="1044" t="s">
        <v>815</v>
      </c>
      <c r="J12" s="1044" t="s">
        <v>815</v>
      </c>
      <c r="K12" s="1044" t="s">
        <v>815</v>
      </c>
      <c r="L12" s="1044" t="s">
        <v>815</v>
      </c>
      <c r="M12" s="1044" t="s">
        <v>815</v>
      </c>
      <c r="N12" s="1044" t="s">
        <v>815</v>
      </c>
      <c r="O12" s="1044" t="s">
        <v>815</v>
      </c>
      <c r="P12" s="1045" t="s">
        <v>815</v>
      </c>
      <c r="Q12" s="479"/>
    </row>
    <row r="13" spans="1:17" ht="21">
      <c r="A13" s="1046" t="s">
        <v>557</v>
      </c>
      <c r="B13" s="1047" t="s">
        <v>838</v>
      </c>
      <c r="C13" s="478" t="s">
        <v>815</v>
      </c>
      <c r="D13" s="485" t="s">
        <v>838</v>
      </c>
      <c r="E13" s="485" t="s">
        <v>838</v>
      </c>
      <c r="F13" s="485" t="s">
        <v>815</v>
      </c>
      <c r="G13" s="485" t="s">
        <v>838</v>
      </c>
      <c r="H13" s="485" t="s">
        <v>838</v>
      </c>
      <c r="I13" s="485" t="s">
        <v>815</v>
      </c>
      <c r="J13" s="485" t="s">
        <v>815</v>
      </c>
      <c r="K13" s="485" t="s">
        <v>815</v>
      </c>
      <c r="L13" s="485" t="s">
        <v>815</v>
      </c>
      <c r="M13" s="1048" t="s">
        <v>838</v>
      </c>
      <c r="N13" s="485" t="s">
        <v>815</v>
      </c>
      <c r="O13" s="485" t="s">
        <v>815</v>
      </c>
      <c r="P13" s="485" t="s">
        <v>815</v>
      </c>
      <c r="Q13" s="484"/>
    </row>
    <row r="14" spans="1:17" s="490" customFormat="1" ht="21">
      <c r="A14" s="1049" t="s">
        <v>558</v>
      </c>
      <c r="B14" s="1050"/>
      <c r="C14" s="1050"/>
      <c r="D14" s="1050"/>
      <c r="E14" s="1050"/>
      <c r="F14" s="1050"/>
      <c r="G14" s="1050"/>
      <c r="H14" s="1050"/>
      <c r="I14" s="1050"/>
      <c r="J14" s="1050"/>
      <c r="K14" s="1050"/>
      <c r="L14" s="1050"/>
      <c r="M14" s="1051"/>
      <c r="N14" s="1050"/>
      <c r="O14" s="1050"/>
      <c r="P14" s="1052"/>
      <c r="Q14" s="1053"/>
    </row>
    <row r="15" spans="1:17">
      <c r="M15" s="1054"/>
    </row>
    <row r="16" spans="1:17">
      <c r="B16" s="1055">
        <v>1</v>
      </c>
      <c r="C16" s="1056">
        <v>2</v>
      </c>
      <c r="D16" s="1057">
        <v>3</v>
      </c>
    </row>
    <row r="17" spans="1:4" ht="252">
      <c r="A17" s="1058" t="s">
        <v>839</v>
      </c>
      <c r="B17" s="1059" t="s">
        <v>840</v>
      </c>
      <c r="C17" s="1060" t="s">
        <v>841</v>
      </c>
      <c r="D17" s="1061" t="s">
        <v>842</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0.21622920019961542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72"/>
      <c r="P13" s="1172"/>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0.21622920019961542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8" t="s">
        <v>328</v>
      </c>
      <c r="B1" s="1166" t="s">
        <v>195</v>
      </c>
      <c r="C1" s="1167"/>
      <c r="D1" s="1167"/>
      <c r="E1" s="1167"/>
      <c r="F1" s="1167"/>
      <c r="G1" s="1167"/>
      <c r="H1" s="1167"/>
      <c r="I1" s="1167"/>
      <c r="J1" s="1167"/>
      <c r="K1" s="1167"/>
      <c r="L1" s="1167"/>
      <c r="M1" s="1167"/>
      <c r="N1" s="1167"/>
      <c r="O1" s="1167"/>
      <c r="P1" s="1167"/>
    </row>
    <row r="2" spans="1:16" ht="15" customHeight="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0.21622920019961542</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2015</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2019-01-01T21:26:50Z</dcterms:modified>
</cp:coreProperties>
</file>