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41" i="14" l="1"/>
  <c r="Q53" s="1"/>
  <c r="Q55" s="1"/>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P55" i="14"/>
  <c r="J5" i="48"/>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N22" i="16"/>
  <c r="O39" i="14" s="1"/>
  <c r="O41" s="1"/>
  <c r="F8" i="48"/>
  <c r="Q4"/>
  <c r="N22"/>
  <c r="R11" i="14"/>
  <c r="J21" i="48"/>
  <c r="R10" i="14"/>
  <c r="C18" i="15" l="1"/>
  <c r="C20" s="1"/>
  <c r="D36" i="14" s="1"/>
  <c r="C17" i="19"/>
  <c r="C19" s="1"/>
  <c r="D35" i="14" s="1"/>
  <c r="C29" i="20"/>
  <c r="C20" i="16"/>
  <c r="C22" s="1"/>
  <c r="D39" i="14" s="1"/>
  <c r="C17" i="49"/>
  <c r="C56" i="22"/>
  <c r="C58" s="1"/>
  <c r="D44" i="14" s="1"/>
  <c r="D46" s="1"/>
  <c r="C10" i="17"/>
  <c r="C12" s="1"/>
  <c r="D48" i="14" s="1"/>
  <c r="F22" i="16"/>
  <c r="G39" i="14" s="1"/>
  <c r="G41"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<sst xmlns="http://schemas.openxmlformats.org/spreadsheetml/2006/main" count="2136" uniqueCount="872">
  <si>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</si>
  <si>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</si>
  <si>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</si>
  <si>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</si>
  <si>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</si>
  <si>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</si>
  <si>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</si>
  <si>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</si>
  <si>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</si>
  <si>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</si>
  <si>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</si>
  <si>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</si>
  <si>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</si>
  <si>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</si>
  <si>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</si>
  <si>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</si>
  <si>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</si>
  <si>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</si>
  <si>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</si>
  <si>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</si>
  <si>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</si>
  <si>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</si>
  <si>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</si>
  <si>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</si>
  <si>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</si>
  <si>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</si>
  <si>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</si>
  <si>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</si>
  <si>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</si>
  <si>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</si>
  <si>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</si>
  <si>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</si>
  <si>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</si>
  <si>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</si>
  <si>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</si>
  <si>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</si>
  <si>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</si>
  <si>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</si>
  <si>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</si>
  <si>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</si>
  <si>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</si>
  <si>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</si>
  <si>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</si>
  <si>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</si>
  <si>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</si>
  <si>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</si>
  <si>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</si>
  <si>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</si>
  <si>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</si>
  <si>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</si>
  <si>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</si>
  <si>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</si>
  <si>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</si>
  <si>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</si>
  <si>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</si>
  <si>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</si>
  <si>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</si>
  <si>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</si>
  <si>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</si>
  <si>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</si>
  <si>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</si>
  <si>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</si>
  <si>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</si>
  <si>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</si>
  <si>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</si>
  <si>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</si>
  <si>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</si>
  <si>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</si>
  <si>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</si>
  <si>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</si>
  <si>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</si>
  <si>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</si>
  <si>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</si>
  <si>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</si>
  <si>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</si>
  <si>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</si>
  <si>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</si>
  <si>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</si>
  <si>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</si>
  <si>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</si>
  <si>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</si>
  <si>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</si>
  <si>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</si>
  <si>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</si>
  <si>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</si>
  <si>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</si>
  <si>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</si>
  <si>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</si>
  <si>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</si>
  <si>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</si>
  <si>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</si>
  <si>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</si>
  <si>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</si>
  <si>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</si>
  <si>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</si>
  <si>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</si>
  <si>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</si>
  <si>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</si>
  <si>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</si>
  <si>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</si>
  <si>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</si>
  <si>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</si>
  <si>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</si>
  <si>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</si>
  <si>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</si>
  <si>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</si>
  <si>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</si>
  <si>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</si>
  <si>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</si>
  <si>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</si>
  <si>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</si>
  <si>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</si>
  <si>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</si>
  <si>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</si>
  <si>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</si>
  <si>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</si>
  <si>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</si>
  <si>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</si>
  <si>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</si>
  <si>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</si>
  <si>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</si>
  <si>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</si>
  <si>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</si>
  <si>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</si>
  <si>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</si>
  <si>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</si>
  <si>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</si>
  <si>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</si>
  <si>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</si>
  <si>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</si>
  <si>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</si>
  <si>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</si>
  <si>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</si>
  <si>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</si>
  <si>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</si>
  <si>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</si>
  <si>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</si>
  <si>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</si>
  <si>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</si>
  <si>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</si>
  <si>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</si>
  <si>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</si>
  <si>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</si>
  <si>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</si>
  <si>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</si>
  <si>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</si>
  <si>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</si>
  <si>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</si>
  <si>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</si>
  <si>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</si>
  <si>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</si>
  <si>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</si>
  <si>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</si>
  <si>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</si>
  <si>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</si>
  <si>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</si>
  <si>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</si>
  <si>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</si>
  <si>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</si>
  <si>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</si>
  <si>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</si>
  <si>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</si>
  <si>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</si>
  <si>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</si>
  <si>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</si>
  <si>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</si>
  <si>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</si>
  <si>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</si>
  <si>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</si>
  <si>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</si>
  <si>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</si>
  <si>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</si>
  <si>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</si>
  <si>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</si>
  <si>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</si>
  <si>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</si>
  <si>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</si>
  <si>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</si>
  <si>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</si>
  <si>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</si>
  <si>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</si>
  <si>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</si>
  <si>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</si>
  <si>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</si>
  <si>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</si>
  <si>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</si>
  <si>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</si>
  <si>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</si>
  <si>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</si>
  <si>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</si>
  <si>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</si>
  <si>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</si>
  <si>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</si>
  <si>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</si>
  <si>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</si>
  <si>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</si>
  <si>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</si>
  <si>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</si>
  <si>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</si>
  <si>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</si>
  <si>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</si>
  <si>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</si>
  <si>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</si>
  <si>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</si>
  <si>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</si>
  <si>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</si>
  <si>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</si>
  <si>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</si>
  <si>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</si>
  <si>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</si>
  <si>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</si>
  <si>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</si>
  <si>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</si>
  <si>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</si>
  <si>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</si>
  <si>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</si>
  <si>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</si>
  <si>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</si>
  <si>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</si>
  <si>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</si>
  <si>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</si>
  <si>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</si>
  <si>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</si>
  <si>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</si>
  <si>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</si>
  <si>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</si>
  <si>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</si>
  <si>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</si>
  <si>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</si>
  <si>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</si>
  <si>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</si>
  <si>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</si>
  <si>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</si>
  <si>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</si>
  <si>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</si>
  <si>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</si>
  <si>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</si>
  <si>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</si>
  <si>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</si>
  <si>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</si>
  <si>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</si>
  <si>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</si>
  <si>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</si>
  <si>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</si>
  <si>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</si>
  <si>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</si>
  <si>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</si>
  <si>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</si>
  <si>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</si>
  <si>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</si>
  <si>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</si>
  <si>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</si>
  <si>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</si>
  <si>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</si>
  <si>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</si>
  <si>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</si>
  <si>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</si>
  <si>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</si>
  <si>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</si>
  <si>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</si>
  <si>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</si>
  <si>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</si>
  <si>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</si>
  <si>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</si>
  <si>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</si>
  <si>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</si>
  <si>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</si>
  <si>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</si>
  <si>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</si>
  <si>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</si>
  <si>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</si>
  <si>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</si>
  <si>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</si>
  <si>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</si>
  <si>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</si>
  <si>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</si>
  <si>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</si>
  <si>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</si>
  <si>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</si>
  <si>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</si>
  <si>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</si>
  <si>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</si>
  <si>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</si>
  <si>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</si>
  <si>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</si>
  <si>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</si>
  <si>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</si>
  <si>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</si>
  <si>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</si>
  <si>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</si>
  <si>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</si>
  <si>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</si>
  <si>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</si>
  <si>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</si>
  <si>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</si>
  <si>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</si>
  <si>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</si>
  <si>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</si>
  <si>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</si>
  <si>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</si>
  <si>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</si>
  <si>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</si>
  <si>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</si>
  <si>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</si>
  <si>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</si>
  <si>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</si>
  <si>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</si>
  <si>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</si>
  <si>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</si>
  <si>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</si>
  <si>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</si>
  <si>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</si>
  <si>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</si>
  <si>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</si>
  <si>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</si>
  <si>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</si>
  <si>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</si>
  <si>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</si>
  <si>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</si>
  <si>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</si>
  <si>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</si>
  <si>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</si>
  <si>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</si>
  <si>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</si>
  <si>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</si>
  <si>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</si>
  <si>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</si>
  <si>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</si>
  <si>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</si>
  <si>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</si>
  <si>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</si>
  <si>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</si>
  <si>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</si>
  <si>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</si>
  <si>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</si>
  <si>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</si>
  <si>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</si>
  <si>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</si>
  <si>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</si>
  <si>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</si>
  <si>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</si>
  <si>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</si>
  <si>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</si>
  <si>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</si>
  <si>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</si>
  <si>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</si>
  <si>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</si>
  <si>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</si>
  <si>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</si>
  <si>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</si>
  <si>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</si>
  <si>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</si>
  <si>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</si>
  <si>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</si>
  <si>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</si>
  <si>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</si>
  <si>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</si>
  <si>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</si>
  <si>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</si>
  <si>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</si>
  <si>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</si>
  <si>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</si>
  <si>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</si>
  <si>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</si>
  <si>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</si>
  <si>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</si>
  <si>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</si>
  <si>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</si>
  <si>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</si>
  <si>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</si>
  <si>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</si>
  <si>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</si>
  <si>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</si>
  <si>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</si>
  <si>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</si>
  <si>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</si>
  <si>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</si>
  <si>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</si>
  <si>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</si>
  <si>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</si>
  <si>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</si>
  <si>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</si>
  <si>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</si>
  <si>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</si>
  <si>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</si>
  <si>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</si>
  <si>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</si>
  <si>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</si>
  <si>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</si>
  <si>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</si>
  <si>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</si>
  <si>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</si>
  <si>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</si>
  <si>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</si>
  <si>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</si>
  <si>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</si>
  <si>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</si>
  <si>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</si>
  <si>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</si>
  <si>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</si>
  <si>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</si>
  <si>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</si>
  <si>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</si>
  <si>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</si>
  <si>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</si>
  <si>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</si>
  <si>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</si>
  <si>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</si>
  <si>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</si>
  <si>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</si>
  <si>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</si>
  <si>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</si>
  <si>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</si>
  <si>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</si>
  <si>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</si>
  <si>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</si>
  <si>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</si>
  <si>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</si>
  <si>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</si>
  <si>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</si>
  <si>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</si>
  <si>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</si>
  <si>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</si>
  <si>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</si>
  <si>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</si>
  <si>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</si>
  <si>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</si>
  <si>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</si>
  <si>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</si>
  <si>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</si>
  <si>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</si>
  <si>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</si>
  <si>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</si>
  <si>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</si>
  <si>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</si>
  <si>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</si>
  <si>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</si>
  <si>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</si>
  <si>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</si>
  <si>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</si>
  <si>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</si>
  <si>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</si>
  <si>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</si>
  <si>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</si>
  <si>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</si>
  <si>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</si>
  <si>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</si>
  <si>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</si>
  <si>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</si>
  <si>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</si>
  <si>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</si>
  <si>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</si>
  <si>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</si>
  <si>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</si>
  <si>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</si>
  <si>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</si>
  <si>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</si>
  <si>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</si>
  <si>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</si>
  <si>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</si>
  <si>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</si>
  <si>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</si>
  <si>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</si>
  <si>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</si>
  <si>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</si>
  <si>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</si>
  <si>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</si>
  <si>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</si>
  <si>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</si>
  <si>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</si>
  <si>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</si>
  <si>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</si>
  <si>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</si>
  <si>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</si>
  <si>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</si>
  <si>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</si>
  <si>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</si>
  <si>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</si>
  <si>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</si>
  <si>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</si>
  <si>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</si>
  <si>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</si>
  <si>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</si>
  <si>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</si>
  <si>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</si>
  <si>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</si>
  <si>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</si>
  <si>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</si>
  <si>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</si>
  <si>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</si>
  <si>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</si>
  <si>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</si>
  <si>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</si>
  <si>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</si>
  <si>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</si>
  <si>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</si>
  <si>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</si>
  <si>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</si>
  <si>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</si>
  <si>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</si>
  <si>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</si>
  <si>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</si>
  <si>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</si>
  <si>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</si>
  <si>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</si>
  <si>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</si>
  <si>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</si>
  <si>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</si>
  <si>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</si>
  <si>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</si>
  <si>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</si>
  <si>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</si>
  <si>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</si>
  <si>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</si>
  <si>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</si>
  <si>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</si>
  <si>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</si>
  <si>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</si>
  <si>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</si>
  <si>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</si>
  <si>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</si>
  <si>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</si>
  <si>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</si>
  <si>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</si>
  <si>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</si>
  <si>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</si>
  <si>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</si>
  <si>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</si>
  <si>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</si>
  <si>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</si>
  <si>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</si>
  <si>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</si>
  <si>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</si>
  <si>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</si>
  <si>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</si>
  <si>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</si>
  <si>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</si>
  <si>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</si>
  <si>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</si>
  <si>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</si>
  <si>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</si>
  <si>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</si>
  <si>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</si>
  <si>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</si>
  <si>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</si>
  <si>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</si>
  <si>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</si>
  <si>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</si>
  <si>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</si>
  <si>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</si>
  <si>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</si>
  <si>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</si>
  <si>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</si>
  <si>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</si>
  <si>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</si>
  <si>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</si>
  <si>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</si>
  <si>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</si>
  <si>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</si>
  <si>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</si>
  <si>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</si>
  <si>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</si>
  <si>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</si>
  <si>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</si>
  <si>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</si>
  <si>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</si>
  <si>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</si>
  <si>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</si>
  <si>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</si>
  <si>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</si>
  <si>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</si>
  <si>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</si>
  <si>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</si>
  <si>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</si>
  <si>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</si>
  <si>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</si>
  <si>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</si>
  <si>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</si>
  <si>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</si>
  <si>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</si>
  <si>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</si>
  <si>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</si>
  <si>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</si>
  <si>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</si>
  <si>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</si>
  <si>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</si>
  <si>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</si>
  <si>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</si>
  <si>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</si>
  <si>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</si>
  <si>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</si>
  <si>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</si>
  <si>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</si>
  <si>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</si>
  <si>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</si>
  <si>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</si>
  <si>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</si>
  <si>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</si>
  <si>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</si>
  <si>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</si>
  <si>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</si>
  <si>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</si>
  <si>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</si>
  <si>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</si>
  <si>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</si>
  <si>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</si>
  <si>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</si>
  <si>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</si>
  <si>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</si>
  <si>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</si>
  <si>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</si>
  <si>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</si>
  <si>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</si>
  <si>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</si>
  <si>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</si>
  <si>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</si>
  <si>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</si>
  <si>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</si>
  <si>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</si>
  <si>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</si>
  <si>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</si>
  <si>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</si>
  <si>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</si>
  <si>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</si>
  <si>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</si>
  <si>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</si>
  <si>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</si>
  <si>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</si>
  <si>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</si>
  <si>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</si>
  <si>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</si>
  <si>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</si>
  <si>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</si>
  <si>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</si>
  <si>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</si>
  <si>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</si>
  <si>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</si>
  <si>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</si>
  <si>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</si>
  <si>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</si>
  <si>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</si>
  <si>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</si>
  <si>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</si>
  <si>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</si>
  <si>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</si>
  <si>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</si>
  <si>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</si>
  <si>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</si>
  <si>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</si>
  <si>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</si>
  <si>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</si>
  <si>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</si>
  <si>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</si>
  <si>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</si>
  <si>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</si>
  <si>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</si>
  <si>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</si>
  <si>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</si>
  <si>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</si>
  <si>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</si>
  <si>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</si>
  <si>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</si>
  <si>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</si>
  <si>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</si>
  <si>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</si>
  <si>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</si>
  <si>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</si>
  <si>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</si>
  <si>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</si>
  <si>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</si>
  <si>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</si>
  <si>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</si>
  <si>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</si>
  <si>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</si>
  <si>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</si>
  <si>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</si>
  <si>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</si>
  <si>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</si>
  <si>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</si>
  <si>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</si>
  <si>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</si>
  <si>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</si>
  <si>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</si>
  <si>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</si>
  <si>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</si>
  <si>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</si>
  <si>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</si>
  <si>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</si>
  <si>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</si>
  <si>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</si>
  <si>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</si>
  <si>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</si>
  <si>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</si>
  <si>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</si>
  <si>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</si>
  <si>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</si>
  <si>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</si>
  <si>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</si>
  <si>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</si>
  <si>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</si>
  <si>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</si>
  <si>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</si>
  <si>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</si>
  <si>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</si>
  <si>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</si>
  <si>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</si>
  <si>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</si>
  <si>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</si>
  <si>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</si>
  <si>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</si>
  <si>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</si>
  <si>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</si>
  <si>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</si>
  <si>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</si>
  <si>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</si>
  <si>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</si>
  <si>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</si>
  <si>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</si>
  <si>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</si>
  <si>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</si>
  <si>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</si>
  <si>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</si>
  <si>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</si>
  <si>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</si>
  <si>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</si>
  <si>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</si>
  <si>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</si>
  <si>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</si>
  <si>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</si>
  <si>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</si>
  <si>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</si>
  <si>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</si>
  <si>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</si>
  <si>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</si>
  <si>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</si>
  <si>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</si>
  <si>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</si>
  <si>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</si>
  <si>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</si>
  <si>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</si>
  <si>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</si>
  <si>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</si>
  <si>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</si>
  <si>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</si>
  <si>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</si>
  <si>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</si>
  <si>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</si>
  <si>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</si>
  <si>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</si>
  <si>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</si>
  <si>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</si>
  <si>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</si>
  <si>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</si>
  <si>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</si>
  <si>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</si>
  <si>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</si>
  <si>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</si>
  <si>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</si>
  <si>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</si>
  <si>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</si>
  <si>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</si>
  <si>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</si>
  <si>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</si>
  <si>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</si>
  <si>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</si>
  <si>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</si>
  <si>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</si>
  <si>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</si>
  <si>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</si>
  <si>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</si>
  <si>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</si>
  <si>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</si>
  <si>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</si>
  <si>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</si>
  <si>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</si>
  <si>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</si>
  <si>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</si>
  <si>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</si>
  <si>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</si>
  <si>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</si>
  <si>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</si>
  <si>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</si>
  <si>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</si>
  <si>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</si>
  <si>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</si>
  <si>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</si>
  <si>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</si>
  <si>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</si>
  <si>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</si>
  <si>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</si>
  <si>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</si>
  <si>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</si>
  <si>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</si>
  <si>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</si>
  <si>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</si>
  <si>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</si>
  <si>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</si>
  <si>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</si>
  <si>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</si>
  <si>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</si>
  <si>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</si>
  <si>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</si>
  <si>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</si>
  <si>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</si>
  <si>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</si>
  <si>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</si>
  <si>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</si>
  <si>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</si>
  <si>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</si>
  <si>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</si>
  <si>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</si>
  <si>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</si>
  <si>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</si>
  <si>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</si>
  <si>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</si>
  <si>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</si>
  <si>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</si>
  <si>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</si>
  <si>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</si>
  <si>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</si>
  <si>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</si>
  <si>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</si>
  <si>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</si>
  <si>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</si>
  <si>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</si>
  <si>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</si>
  <si>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</si>
  <si>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</si>
  <si>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</si>
  <si>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</si>
  <si>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</si>
  <si>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</si>
  <si>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</si>
  <si>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</si>
  <si>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</si>
  <si>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</si>
  <si>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</si>
  <si>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</si>
  <si>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</si>
  <si>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</si>
  <si>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</si>
  <si>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</si>
  <si>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</si>
  <si>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</si>
  <si>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</si>
  <si>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</si>
  <si>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</si>
  <si>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32003</t>
  </si>
  <si>
    <t>DIKSMUIDE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</si>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</sst>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135469.52849354511</c:v>
                </c:pt>
                <c:pt idx="1">
                  <c:v>65444.799128869257</c:v>
                </c:pt>
                <c:pt idx="2">
                  <c:v>1177.4780000000001</c:v>
                </c:pt>
                <c:pt idx="3">
                  <c:v>48023.165236304761</c:v>
                </c:pt>
                <c:pt idx="4">
                  <c:v>51089.722894702893</c:v>
                </c:pt>
                <c:pt idx="5">
                  <c:v>133891.77519002027</c:v>
                </c:pt>
                <c:pt idx="6">
                  <c:v>1988.1644066316201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135469.52849354511</c:v>
                </c:pt>
                <c:pt idx="1">
                  <c:v>65444.799128869257</c:v>
                </c:pt>
                <c:pt idx="2">
                  <c:v>1177.4780000000001</c:v>
                </c:pt>
                <c:pt idx="3">
                  <c:v>48023.165236304761</c:v>
                </c:pt>
                <c:pt idx="4">
                  <c:v>51089.722894702893</c:v>
                </c:pt>
                <c:pt idx="5">
                  <c:v>133891.77519002027</c:v>
                </c:pt>
                <c:pt idx="6">
                  <c:v>1988.1644066316201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22864.519281139052</c:v>
                </c:pt>
                <c:pt idx="1">
                  <c:v>11720.622520453724</c:v>
                </c:pt>
                <c:pt idx="2">
                  <c:v>221.85294072151217</c:v>
                </c:pt>
                <c:pt idx="3">
                  <c:v>12031.181508269736</c:v>
                </c:pt>
                <c:pt idx="4">
                  <c:v>9676.5898839406527</c:v>
                </c:pt>
                <c:pt idx="5">
                  <c:v>34264.486711915721</c:v>
                </c:pt>
                <c:pt idx="6">
                  <c:v>514.86978761625301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28096"/>
        <c:axId val="184291328"/>
      </c:barChart>
      <c:catAx>
        <c:axId val="184228096"/>
        <c:scaling>
          <c:orientation val="minMax"/>
        </c:scaling>
        <c:axPos val="b"/>
        <c:numFmt formatCode="General" sourceLinked="0"/>
        <c:tickLblPos val="nextTo"/>
        <c:crossAx val="184291328"/>
        <c:crosses val="autoZero"/>
        <c:auto val="1"/>
        <c:lblAlgn val="ctr"/>
        <c:lblOffset val="100"/>
      </c:catAx>
      <c:valAx>
        <c:axId val="184291328"/>
        <c:scaling>
          <c:orientation val="minMax"/>
        </c:scaling>
        <c:axPos val="l"/>
        <c:majorGridlines/>
        <c:numFmt formatCode="#,##0" sourceLinked="1"/>
        <c:tickLblPos val="nextTo"/>
        <c:crossAx val="184228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22864.519281139052</c:v>
                </c:pt>
                <c:pt idx="1">
                  <c:v>11720.622520453724</c:v>
                </c:pt>
                <c:pt idx="2">
                  <c:v>221.85294072151217</c:v>
                </c:pt>
                <c:pt idx="3">
                  <c:v>12031.181508269736</c:v>
                </c:pt>
                <c:pt idx="4">
                  <c:v>9676.5898839406527</c:v>
                </c:pt>
                <c:pt idx="5">
                  <c:v>34264.486711915721</c:v>
                </c:pt>
                <c:pt idx="6">
                  <c:v>514.86978761625301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7031</v>
      </c>
      <c r="C9" s="342">
        <v>7181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12290.13</v>
      </c>
    </row>
    <row r="15" spans="1:6">
      <c r="A15" s="348" t="s">
        <v>184</v>
      </c>
      <c r="B15" s="334">
        <v>180</v>
      </c>
    </row>
    <row r="16" spans="1:6">
      <c r="A16" s="348" t="s">
        <v>6</v>
      </c>
      <c r="B16" s="334">
        <v>6993</v>
      </c>
    </row>
    <row r="17" spans="1:6">
      <c r="A17" s="348" t="s">
        <v>7</v>
      </c>
      <c r="B17" s="334">
        <v>3347</v>
      </c>
    </row>
    <row r="18" spans="1:6">
      <c r="A18" s="348" t="s">
        <v>8</v>
      </c>
      <c r="B18" s="334">
        <v>6099</v>
      </c>
    </row>
    <row r="19" spans="1:6">
      <c r="A19" s="348" t="s">
        <v>9</v>
      </c>
      <c r="B19" s="334">
        <v>6014</v>
      </c>
    </row>
    <row r="20" spans="1:6">
      <c r="A20" s="348" t="s">
        <v>10</v>
      </c>
      <c r="B20" s="334">
        <v>4141</v>
      </c>
    </row>
    <row r="21" spans="1:6">
      <c r="A21" s="348" t="s">
        <v>11</v>
      </c>
      <c r="B21" s="334">
        <v>59299</v>
      </c>
    </row>
    <row r="22" spans="1:6">
      <c r="A22" s="348" t="s">
        <v>12</v>
      </c>
      <c r="B22" s="334">
        <v>115966</v>
      </c>
    </row>
    <row r="23" spans="1:6">
      <c r="A23" s="348" t="s">
        <v>13</v>
      </c>
      <c r="B23" s="334">
        <v>1870</v>
      </c>
    </row>
    <row r="24" spans="1:6">
      <c r="A24" s="348" t="s">
        <v>14</v>
      </c>
      <c r="B24" s="334">
        <v>96</v>
      </c>
    </row>
    <row r="25" spans="1:6">
      <c r="A25" s="348" t="s">
        <v>15</v>
      </c>
      <c r="B25" s="334">
        <v>12835</v>
      </c>
    </row>
    <row r="26" spans="1:6">
      <c r="A26" s="348" t="s">
        <v>16</v>
      </c>
      <c r="B26" s="334">
        <v>1565</v>
      </c>
    </row>
    <row r="27" spans="1:6">
      <c r="A27" s="348" t="s">
        <v>17</v>
      </c>
      <c r="B27" s="334">
        <v>14</v>
      </c>
    </row>
    <row r="28" spans="1:6" s="356" customFormat="1">
      <c r="A28" s="355" t="s">
        <v>18</v>
      </c>
      <c r="B28" s="355">
        <v>343450</v>
      </c>
    </row>
    <row r="29" spans="1:6">
      <c r="A29" s="355" t="s">
        <v>849</v>
      </c>
      <c r="B29" s="355">
        <v>164</v>
      </c>
      <c r="C29" s="356"/>
      <c r="D29" s="356"/>
      <c r="E29" s="356"/>
      <c r="F29" s="356"/>
    </row>
    <row r="30" spans="1:6">
      <c r="A30" s="355" t="s">
        <v>850</v>
      </c>
      <c r="B30" s="341">
        <v>30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70326</v>
      </c>
    </row>
    <row r="37" spans="1:6">
      <c r="A37" s="348" t="s">
        <v>25</v>
      </c>
      <c r="B37" s="348" t="s">
        <v>28</v>
      </c>
      <c r="C37" s="334">
        <v>0</v>
      </c>
      <c r="D37" s="334">
        <v>0</v>
      </c>
      <c r="E37" s="334">
        <v>0</v>
      </c>
      <c r="F37" s="334">
        <v>0</v>
      </c>
    </row>
    <row r="38" spans="1:6">
      <c r="A38" s="348" t="s">
        <v>25</v>
      </c>
      <c r="B38" s="348" t="s">
        <v>29</v>
      </c>
      <c r="C38" s="334">
        <v>0</v>
      </c>
      <c r="D38" s="334">
        <v>1103928</v>
      </c>
      <c r="E38" s="334">
        <v>0</v>
      </c>
      <c r="F38" s="334">
        <v>0</v>
      </c>
    </row>
    <row r="39" spans="1:6">
      <c r="A39" s="348" t="s">
        <v>30</v>
      </c>
      <c r="B39" s="348" t="s">
        <v>31</v>
      </c>
      <c r="C39" s="334">
        <v>4334</v>
      </c>
      <c r="D39" s="334">
        <v>61498551</v>
      </c>
      <c r="E39" s="334">
        <v>6619</v>
      </c>
      <c r="F39" s="334">
        <v>24764329.0087718</v>
      </c>
    </row>
    <row r="40" spans="1:6">
      <c r="A40" s="348" t="s">
        <v>30</v>
      </c>
      <c r="B40" s="348" t="s">
        <v>29</v>
      </c>
      <c r="C40" s="334">
        <v>0</v>
      </c>
      <c r="D40" s="334">
        <v>0</v>
      </c>
      <c r="E40" s="334">
        <v>0</v>
      </c>
      <c r="F40" s="334">
        <v>0</v>
      </c>
    </row>
    <row r="41" spans="1:6">
      <c r="A41" s="348" t="s">
        <v>32</v>
      </c>
      <c r="B41" s="348" t="s">
        <v>33</v>
      </c>
      <c r="C41" s="334">
        <v>110</v>
      </c>
      <c r="D41" s="334">
        <v>7243967</v>
      </c>
      <c r="E41" s="334">
        <v>218</v>
      </c>
      <c r="F41" s="334">
        <v>11118730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21</v>
      </c>
      <c r="D44" s="334">
        <v>1739494</v>
      </c>
      <c r="E44" s="334">
        <v>56</v>
      </c>
      <c r="F44" s="334">
        <v>2894806</v>
      </c>
    </row>
    <row r="45" spans="1:6">
      <c r="A45" s="348" t="s">
        <v>32</v>
      </c>
      <c r="B45" s="348" t="s">
        <v>37</v>
      </c>
      <c r="C45" s="334">
        <v>0</v>
      </c>
      <c r="D45" s="334">
        <v>0</v>
      </c>
      <c r="E45" s="334">
        <v>3</v>
      </c>
      <c r="F45" s="334">
        <v>308647</v>
      </c>
    </row>
    <row r="46" spans="1:6">
      <c r="A46" s="348" t="s">
        <v>32</v>
      </c>
      <c r="B46" s="348" t="s">
        <v>38</v>
      </c>
      <c r="C46" s="334">
        <v>0</v>
      </c>
      <c r="D46" s="334">
        <v>0</v>
      </c>
      <c r="E46" s="334">
        <v>0</v>
      </c>
      <c r="F46" s="334">
        <v>0</v>
      </c>
    </row>
    <row r="47" spans="1:6">
      <c r="A47" s="348" t="s">
        <v>32</v>
      </c>
      <c r="B47" s="348" t="s">
        <v>39</v>
      </c>
      <c r="C47" s="334">
        <v>4</v>
      </c>
      <c r="D47" s="334">
        <v>256572</v>
      </c>
      <c r="E47" s="334">
        <v>5</v>
      </c>
      <c r="F47" s="334">
        <v>312643</v>
      </c>
    </row>
    <row r="48" spans="1:6">
      <c r="A48" s="348" t="s">
        <v>32</v>
      </c>
      <c r="B48" s="348" t="s">
        <v>29</v>
      </c>
      <c r="C48" s="334">
        <v>3</v>
      </c>
      <c r="D48" s="334">
        <v>466656</v>
      </c>
      <c r="E48" s="334">
        <v>4</v>
      </c>
      <c r="F48" s="334">
        <v>41460</v>
      </c>
    </row>
    <row r="49" spans="1:6">
      <c r="A49" s="348" t="s">
        <v>32</v>
      </c>
      <c r="B49" s="348" t="s">
        <v>40</v>
      </c>
      <c r="C49" s="334">
        <v>0</v>
      </c>
      <c r="D49" s="334">
        <v>0</v>
      </c>
      <c r="E49" s="334">
        <v>0</v>
      </c>
      <c r="F49" s="334">
        <v>0</v>
      </c>
    </row>
    <row r="50" spans="1:6">
      <c r="A50" s="348" t="s">
        <v>32</v>
      </c>
      <c r="B50" s="348" t="s">
        <v>41</v>
      </c>
      <c r="C50" s="334">
        <v>20</v>
      </c>
      <c r="D50" s="334">
        <v>1321777</v>
      </c>
      <c r="E50" s="334">
        <v>41</v>
      </c>
      <c r="F50" s="334">
        <v>5157044</v>
      </c>
    </row>
    <row r="51" spans="1:6">
      <c r="A51" s="348" t="s">
        <v>42</v>
      </c>
      <c r="B51" s="348" t="s">
        <v>43</v>
      </c>
      <c r="C51" s="334">
        <v>44</v>
      </c>
      <c r="D51" s="334">
        <v>1201464</v>
      </c>
      <c r="E51" s="334">
        <v>381</v>
      </c>
      <c r="F51" s="334">
        <v>9641845</v>
      </c>
    </row>
    <row r="52" spans="1:6">
      <c r="A52" s="348" t="s">
        <v>42</v>
      </c>
      <c r="B52" s="348" t="s">
        <v>29</v>
      </c>
      <c r="C52" s="334">
        <v>0</v>
      </c>
      <c r="D52" s="334">
        <v>0</v>
      </c>
      <c r="E52" s="334">
        <v>1</v>
      </c>
      <c r="F52" s="334">
        <v>31099.134791</v>
      </c>
    </row>
    <row r="53" spans="1:6">
      <c r="A53" s="348" t="s">
        <v>44</v>
      </c>
      <c r="B53" s="348" t="s">
        <v>45</v>
      </c>
      <c r="C53" s="334">
        <v>0</v>
      </c>
      <c r="D53" s="334">
        <v>0</v>
      </c>
      <c r="E53" s="334">
        <v>1</v>
      </c>
      <c r="F53" s="334">
        <v>9965.1908507999997</v>
      </c>
    </row>
    <row r="54" spans="1:6">
      <c r="A54" s="348" t="s">
        <v>46</v>
      </c>
      <c r="B54" s="348" t="s">
        <v>47</v>
      </c>
      <c r="C54" s="334">
        <v>0</v>
      </c>
      <c r="D54" s="334">
        <v>0</v>
      </c>
      <c r="E54" s="334">
        <v>99</v>
      </c>
      <c r="F54" s="334">
        <v>1177478</v>
      </c>
    </row>
    <row r="55" spans="1:6">
      <c r="A55" s="348" t="s">
        <v>46</v>
      </c>
      <c r="B55" s="348" t="s">
        <v>29</v>
      </c>
      <c r="C55" s="334">
        <v>0</v>
      </c>
      <c r="D55" s="334">
        <v>0</v>
      </c>
      <c r="E55" s="334">
        <v>0</v>
      </c>
      <c r="F55" s="334">
        <v>0</v>
      </c>
    </row>
    <row r="56" spans="1:6">
      <c r="A56" s="348" t="s">
        <v>48</v>
      </c>
      <c r="B56" s="348" t="s">
        <v>29</v>
      </c>
      <c r="C56" s="334">
        <v>82</v>
      </c>
      <c r="D56" s="334">
        <v>1073666</v>
      </c>
      <c r="E56" s="334">
        <v>173</v>
      </c>
      <c r="F56" s="334">
        <v>677632</v>
      </c>
    </row>
    <row r="57" spans="1:6">
      <c r="A57" s="348" t="s">
        <v>49</v>
      </c>
      <c r="B57" s="348" t="s">
        <v>50</v>
      </c>
      <c r="C57" s="334">
        <v>38</v>
      </c>
      <c r="D57" s="334">
        <v>2849405</v>
      </c>
      <c r="E57" s="334">
        <v>113</v>
      </c>
      <c r="F57" s="334">
        <v>9825449</v>
      </c>
    </row>
    <row r="58" spans="1:6">
      <c r="A58" s="348" t="s">
        <v>49</v>
      </c>
      <c r="B58" s="348" t="s">
        <v>51</v>
      </c>
      <c r="C58" s="334">
        <v>38</v>
      </c>
      <c r="D58" s="334">
        <v>1830753</v>
      </c>
      <c r="E58" s="334">
        <v>50</v>
      </c>
      <c r="F58" s="334">
        <v>1519469</v>
      </c>
    </row>
    <row r="59" spans="1:6">
      <c r="A59" s="348" t="s">
        <v>49</v>
      </c>
      <c r="B59" s="348" t="s">
        <v>52</v>
      </c>
      <c r="C59" s="334">
        <v>163</v>
      </c>
      <c r="D59" s="334">
        <v>5754139</v>
      </c>
      <c r="E59" s="334">
        <v>322</v>
      </c>
      <c r="F59" s="334">
        <v>10220157</v>
      </c>
    </row>
    <row r="60" spans="1:6">
      <c r="A60" s="348" t="s">
        <v>49</v>
      </c>
      <c r="B60" s="348" t="s">
        <v>53</v>
      </c>
      <c r="C60" s="334">
        <v>62</v>
      </c>
      <c r="D60" s="334">
        <v>3426842</v>
      </c>
      <c r="E60" s="334">
        <v>99</v>
      </c>
      <c r="F60" s="334">
        <v>2570606</v>
      </c>
    </row>
    <row r="61" spans="1:6">
      <c r="A61" s="348" t="s">
        <v>49</v>
      </c>
      <c r="B61" s="348" t="s">
        <v>54</v>
      </c>
      <c r="C61" s="334">
        <v>146</v>
      </c>
      <c r="D61" s="334">
        <v>5539854</v>
      </c>
      <c r="E61" s="334">
        <v>403</v>
      </c>
      <c r="F61" s="334">
        <v>4224140</v>
      </c>
    </row>
    <row r="62" spans="1:6">
      <c r="A62" s="348" t="s">
        <v>49</v>
      </c>
      <c r="B62" s="348" t="s">
        <v>55</v>
      </c>
      <c r="C62" s="334">
        <v>20</v>
      </c>
      <c r="D62" s="334">
        <v>3518458</v>
      </c>
      <c r="E62" s="334">
        <v>26</v>
      </c>
      <c r="F62" s="334">
        <v>997078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181630</v>
      </c>
      <c r="E68" s="334">
        <v>21</v>
      </c>
      <c r="F68" s="334">
        <v>395295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130592513</v>
      </c>
      <c r="E73" s="476">
        <v>135485807.81049928</v>
      </c>
    </row>
    <row r="74" spans="1:6">
      <c r="A74" s="348" t="s">
        <v>64</v>
      </c>
      <c r="B74" s="348" t="s">
        <v>667</v>
      </c>
      <c r="C74" s="1271" t="s">
        <v>669</v>
      </c>
      <c r="D74" s="476">
        <v>12735228.072599456</v>
      </c>
      <c r="E74" s="476">
        <v>12984598.960014697</v>
      </c>
    </row>
    <row r="75" spans="1:6">
      <c r="A75" s="348" t="s">
        <v>65</v>
      </c>
      <c r="B75" s="348" t="s">
        <v>666</v>
      </c>
      <c r="C75" s="1271" t="s">
        <v>670</v>
      </c>
      <c r="D75" s="476">
        <v>22568205</v>
      </c>
      <c r="E75" s="476">
        <v>24100944.661640592</v>
      </c>
    </row>
    <row r="76" spans="1:6">
      <c r="A76" s="348" t="s">
        <v>65</v>
      </c>
      <c r="B76" s="348" t="s">
        <v>667</v>
      </c>
      <c r="C76" s="1271" t="s">
        <v>671</v>
      </c>
      <c r="D76" s="476">
        <v>658151.07259945478</v>
      </c>
      <c r="E76" s="476">
        <v>665465.54947109765</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533993.85480109043</v>
      </c>
      <c r="C83" s="476">
        <v>533993.85480109043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2821.9842801277414</v>
      </c>
    </row>
    <row r="91" spans="1:6">
      <c r="A91" s="348" t="s">
        <v>68</v>
      </c>
      <c r="B91" s="334">
        <v>3764.2610980089521</v>
      </c>
    </row>
    <row r="92" spans="1:6">
      <c r="A92" s="341" t="s">
        <v>69</v>
      </c>
      <c r="B92" s="342">
        <v>4589.8868629282615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88605.132195597485</v>
      </c>
      <c r="C3" s="43" t="s">
        <v>170</v>
      </c>
      <c r="D3" s="43"/>
      <c r="E3" s="154"/>
      <c r="F3" s="43"/>
      <c r="G3" s="43"/>
      <c r="H3" s="43"/>
      <c r="I3" s="43"/>
      <c r="J3" s="43"/>
      <c r="K3" s="96"/>
    </row>
    <row r="4" spans="1:11">
      <c r="A4" s="383" t="s">
        <v>171</v>
      </c>
      <c r="B4" s="49">
        <f>IF(ISERROR('SEAP template'!B69),0,'SEAP template'!B69)</f>
        <v>13064.782241064955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0.18841366099537499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1177.4780000000001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1177.4780000000001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0.18841366099537499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221.85294072151217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24764.329008771798</v>
      </c>
      <c r="C5" s="17">
        <f>IF(ISERROR('Eigen informatie GS &amp; warmtenet'!B57),0,'Eigen informatie GS &amp; warmtenet'!B57)</f>
        <v>0</v>
      </c>
      <c r="D5" s="30">
        <f>(SUM(HH_hh_gas_kWh,HH_rest_gas_kWh)/1000)*0.902</f>
        <v>55471.693002</v>
      </c>
      <c r="E5" s="17">
        <f>B46*B57</f>
        <v>10881.415871958226</v>
      </c>
      <c r="F5" s="17">
        <f>B51*B62</f>
        <v>9987.5858429202453</v>
      </c>
      <c r="G5" s="18"/>
      <c r="H5" s="17"/>
      <c r="I5" s="17"/>
      <c r="J5" s="17">
        <f>B50*B61+C50*C61</f>
        <v>3240.9445386605507</v>
      </c>
      <c r="K5" s="17"/>
      <c r="L5" s="17"/>
      <c r="M5" s="17"/>
      <c r="N5" s="17">
        <f>B48*B59+C48*C59</f>
        <v>26406.182464558675</v>
      </c>
      <c r="O5" s="17">
        <f>B69*B70*B71</f>
        <v>304.85000000000002</v>
      </c>
      <c r="P5" s="17">
        <f>B77*B78*B79/1000-B77*B78*B79/1000/B80</f>
        <v>648.26666666666665</v>
      </c>
    </row>
    <row r="6" spans="1:16">
      <c r="A6" s="16" t="s">
        <v>624</v>
      </c>
      <c r="B6" s="843">
        <f>kWh_PV_kleiner_dan_10kW</f>
        <v>3764.2610980089521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28528.59010678075</v>
      </c>
      <c r="C8" s="21">
        <f>C5</f>
        <v>0</v>
      </c>
      <c r="D8" s="21">
        <f>D5</f>
        <v>55471.693002</v>
      </c>
      <c r="E8" s="21">
        <f>E5</f>
        <v>10881.415871958226</v>
      </c>
      <c r="F8" s="21">
        <f>F5</f>
        <v>9987.5858429202453</v>
      </c>
      <c r="G8" s="21"/>
      <c r="H8" s="21"/>
      <c r="I8" s="21"/>
      <c r="J8" s="21">
        <f>J5</f>
        <v>3240.9445386605507</v>
      </c>
      <c r="K8" s="21"/>
      <c r="L8" s="21">
        <f>L5</f>
        <v>0</v>
      </c>
      <c r="M8" s="21">
        <f>M5</f>
        <v>0</v>
      </c>
      <c r="N8" s="21">
        <f>N5</f>
        <v>26406.182464558675</v>
      </c>
      <c r="O8" s="21">
        <f>O5</f>
        <v>304.85000000000002</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0.18841366099537499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5375.1761050549967</v>
      </c>
      <c r="C12" s="23">
        <f ca="1">C10*C8</f>
        <v>0</v>
      </c>
      <c r="D12" s="23">
        <f>D8*D10</f>
        <v>11205.281986404001</v>
      </c>
      <c r="E12" s="23">
        <f>E10*E8</f>
        <v>2470.0814029345174</v>
      </c>
      <c r="F12" s="23">
        <f>F10*F8</f>
        <v>2666.6854200597058</v>
      </c>
      <c r="G12" s="23"/>
      <c r="H12" s="23"/>
      <c r="I12" s="23"/>
      <c r="J12" s="23">
        <f>J10*J8</f>
        <v>1147.2943666858348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698</v>
      </c>
      <c r="B28" s="37">
        <f>aantalHuishoudens2011</f>
        <v>7031</v>
      </c>
      <c r="C28" s="36"/>
      <c r="D28" s="228"/>
    </row>
    <row r="29" spans="1:7" s="15" customFormat="1">
      <c r="A29" s="230" t="s">
        <v>699</v>
      </c>
      <c r="B29" s="37">
        <f>SUM(HH_hh_gas_aantal,HH_rest_gas_aantal)</f>
        <v>4334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4334</v>
      </c>
      <c r="C32" s="167">
        <f>IF(ISERROR(B32/SUM($B$32,$B$34,$B$35,$B$36,$B$38,$B$39)*100),0,B32/SUM($B$32,$B$34,$B$35,$B$36,$B$38,$B$39)*100)</f>
        <v>61.940831785050733</v>
      </c>
      <c r="D32" s="233"/>
      <c r="G32" s="15"/>
    </row>
    <row r="33" spans="1:7">
      <c r="A33" s="171" t="s">
        <v>72</v>
      </c>
      <c r="B33" s="34" t="s">
        <v>111</v>
      </c>
      <c r="C33" s="167"/>
      <c r="D33" s="233"/>
      <c r="G33" s="15"/>
    </row>
    <row r="34" spans="1:7">
      <c r="A34" s="171" t="s">
        <v>73</v>
      </c>
      <c r="B34" s="33">
        <f>IF((($B$28-$B$32-$B$39-$B$77-$B$38)*C20/100)&lt;0,0,($B$28-$B$32-$B$39-$B$77-$B$38)*C20/100)</f>
        <v>481.09779179810721</v>
      </c>
      <c r="C34" s="167">
        <f>IF(ISERROR(B34/SUM($B$32,$B$34,$B$35,$B$36,$B$38,$B$39)*100),0,B34/SUM($B$32,$B$34,$B$35,$B$36,$B$38,$B$39)*100)</f>
        <v>6.8757723566972588</v>
      </c>
      <c r="D34" s="233"/>
      <c r="G34" s="15"/>
    </row>
    <row r="35" spans="1:7">
      <c r="A35" s="171" t="s">
        <v>74</v>
      </c>
      <c r="B35" s="33">
        <f>IF((($B$28-$B$32-$B$39-$B$77-$B$38)*C21/100)&lt;0,0,($B$28-$B$32-$B$39-$B$77-$B$38)*C21/100)</f>
        <v>1255.8233438485806</v>
      </c>
      <c r="C35" s="167">
        <f>IF(ISERROR(B35/SUM($B$32,$B$34,$B$35,$B$36,$B$38,$B$39)*100),0,B35/SUM($B$32,$B$34,$B$35,$B$36,$B$38,$B$39)*100)</f>
        <v>17.948025494477356</v>
      </c>
      <c r="D35" s="233"/>
      <c r="G35" s="15"/>
    </row>
    <row r="36" spans="1:7">
      <c r="A36" s="171" t="s">
        <v>75</v>
      </c>
      <c r="B36" s="33">
        <f>IF((($B$28-$B$32-$B$39-$B$77-$B$38)*C22/100)&lt;0,0,($B$28-$B$32-$B$39-$B$77-$B$38)*C22/100)</f>
        <v>411.07886435331233</v>
      </c>
      <c r="C36" s="167">
        <f>IF(ISERROR(B36/SUM($B$32,$B$34,$B$35,$B$36,$B$38,$B$39)*100),0,B36/SUM($B$32,$B$34,$B$35,$B$36,$B$38,$B$39)*100)</f>
        <v>5.8750730935159687</v>
      </c>
      <c r="D36" s="233"/>
      <c r="G36" s="15"/>
    </row>
    <row r="37" spans="1:7">
      <c r="A37" s="171" t="s">
        <v>76</v>
      </c>
      <c r="B37" s="34" t="s">
        <v>111</v>
      </c>
      <c r="C37" s="167"/>
      <c r="D37" s="173"/>
      <c r="G37" s="15"/>
    </row>
    <row r="38" spans="1:7">
      <c r="A38" s="171" t="s">
        <v>77</v>
      </c>
      <c r="B38" s="33">
        <f>IF((B24-(B29-B18)*0.1)&lt;0,0,B24-(B29-B18)*0.1)</f>
        <v>104.69999999999999</v>
      </c>
      <c r="C38" s="167">
        <f>IF(ISERROR(B38/SUM($B$32,$B$34,$B$35,$B$36,$B$38,$B$39)*100),0,B38/SUM($B$32,$B$34,$B$35,$B$36,$B$38,$B$39)*100)</f>
        <v>1.4963555809632698</v>
      </c>
      <c r="D38" s="234"/>
      <c r="G38" s="15"/>
    </row>
    <row r="39" spans="1:7">
      <c r="A39" s="171" t="s">
        <v>78</v>
      </c>
      <c r="B39" s="33">
        <f>IF((B25-(B29-B18))&lt;0,0,B25-(B29-B18)*0.9)</f>
        <v>410.29999999999995</v>
      </c>
      <c r="C39" s="167">
        <f>IF(ISERROR(B39/SUM($B$32,$B$34,$B$35,$B$36,$B$38,$B$39)*100),0,B39/SUM($B$32,$B$34,$B$35,$B$36,$B$38,$B$39)*100)</f>
        <v>5.8639416892954124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4334</v>
      </c>
      <c r="C44" s="34" t="s">
        <v>111</v>
      </c>
      <c r="D44" s="174"/>
    </row>
    <row r="45" spans="1:7">
      <c r="A45" s="171" t="s">
        <v>72</v>
      </c>
      <c r="B45" s="33" t="str">
        <f t="shared" si="0"/>
        <v>-</v>
      </c>
      <c r="C45" s="34" t="s">
        <v>111</v>
      </c>
      <c r="D45" s="174"/>
    </row>
    <row r="46" spans="1:7">
      <c r="A46" s="171" t="s">
        <v>73</v>
      </c>
      <c r="B46" s="33">
        <f t="shared" si="0"/>
        <v>481.09779179810721</v>
      </c>
      <c r="C46" s="34" t="s">
        <v>111</v>
      </c>
      <c r="D46" s="174"/>
    </row>
    <row r="47" spans="1:7">
      <c r="A47" s="171" t="s">
        <v>74</v>
      </c>
      <c r="B47" s="33">
        <f t="shared" si="0"/>
        <v>1255.8233438485806</v>
      </c>
      <c r="C47" s="34" t="s">
        <v>111</v>
      </c>
      <c r="D47" s="174"/>
    </row>
    <row r="48" spans="1:7">
      <c r="A48" s="171" t="s">
        <v>75</v>
      </c>
      <c r="B48" s="33">
        <f t="shared" si="0"/>
        <v>411.07886435331233</v>
      </c>
      <c r="C48" s="33">
        <f>B48*10</f>
        <v>4110.7886435331229</v>
      </c>
      <c r="D48" s="234"/>
    </row>
    <row r="49" spans="1:6">
      <c r="A49" s="171" t="s">
        <v>76</v>
      </c>
      <c r="B49" s="33" t="str">
        <f t="shared" si="0"/>
        <v>-</v>
      </c>
      <c r="C49" s="34" t="s">
        <v>111</v>
      </c>
      <c r="D49" s="234"/>
    </row>
    <row r="50" spans="1:6">
      <c r="A50" s="171" t="s">
        <v>77</v>
      </c>
      <c r="B50" s="33">
        <f t="shared" si="0"/>
        <v>104.69999999999999</v>
      </c>
      <c r="C50" s="33">
        <f>B50*2</f>
        <v>209.39999999999998</v>
      </c>
      <c r="D50" s="234"/>
    </row>
    <row r="51" spans="1:6">
      <c r="A51" s="171" t="s">
        <v>78</v>
      </c>
      <c r="B51" s="33">
        <f t="shared" si="0"/>
        <v>410.29999999999995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29356.899000000001</v>
      </c>
      <c r="C5" s="17">
        <f>IF(ISERROR('Eigen informatie GS &amp; warmtenet'!B58),0,'Eigen informatie GS &amp; warmtenet'!B58)</f>
        <v>0</v>
      </c>
      <c r="D5" s="30">
        <f>SUM(D6:D12)</f>
        <v>20673.344802</v>
      </c>
      <c r="E5" s="17">
        <f>SUM(E6:E12)</f>
        <v>479.66002805370942</v>
      </c>
      <c r="F5" s="17">
        <f>SUM(F6:F12)</f>
        <v>7132.8959850938854</v>
      </c>
      <c r="G5" s="18"/>
      <c r="H5" s="17"/>
      <c r="I5" s="17"/>
      <c r="J5" s="17">
        <f>SUM(J6:J12)</f>
        <v>0</v>
      </c>
      <c r="K5" s="17"/>
      <c r="L5" s="17"/>
      <c r="M5" s="17"/>
      <c r="N5" s="17">
        <f>SUM(N6:N12)</f>
        <v>7779.8059803883361</v>
      </c>
      <c r="O5" s="17">
        <f>B38*B39*B40</f>
        <v>3.1266666666666669</v>
      </c>
      <c r="P5" s="17">
        <f>B46*B47*B48/1000-B46*B47*B48/1000/B49</f>
        <v>19.066666666666666</v>
      </c>
      <c r="R5" s="32"/>
    </row>
    <row r="6" spans="1:18">
      <c r="A6" s="32" t="s">
        <v>54</v>
      </c>
      <c r="B6" s="37">
        <f>B26</f>
        <v>4224.1400000000003</v>
      </c>
      <c r="C6" s="33"/>
      <c r="D6" s="37">
        <f>IF(ISERROR(TER_kantoor_gas_kWh/1000),0,TER_kantoor_gas_kWh/1000)*0.902</f>
        <v>4996.948308</v>
      </c>
      <c r="E6" s="33">
        <f>$C$26*'E Balans VL '!I12/100/3.6*1000000</f>
        <v>55.299195985968105</v>
      </c>
      <c r="F6" s="33">
        <f>$C$26*('E Balans VL '!L12+'E Balans VL '!N12)/100/3.6*1000000</f>
        <v>1077.1120493678052</v>
      </c>
      <c r="G6" s="34"/>
      <c r="H6" s="33"/>
      <c r="I6" s="33"/>
      <c r="J6" s="33">
        <f>$C$26*('E Balans VL '!D12+'E Balans VL '!E12)/100/3.6*1000000</f>
        <v>0</v>
      </c>
      <c r="K6" s="33"/>
      <c r="L6" s="33"/>
      <c r="M6" s="33"/>
      <c r="N6" s="33">
        <f>$C$26*'E Balans VL '!Y12/100/3.6*1000000</f>
        <v>4.2383645651931943</v>
      </c>
      <c r="O6" s="33"/>
      <c r="P6" s="33"/>
      <c r="R6" s="32"/>
    </row>
    <row r="7" spans="1:18">
      <c r="A7" s="32" t="s">
        <v>53</v>
      </c>
      <c r="B7" s="37">
        <f t="shared" ref="B7:B12" si="0">B27</f>
        <v>2570.6060000000002</v>
      </c>
      <c r="C7" s="33"/>
      <c r="D7" s="37">
        <f>IF(ISERROR(TER_horeca_gas_kWh/1000),0,TER_horeca_gas_kWh/1000)*0.902</f>
        <v>3091.0114840000001</v>
      </c>
      <c r="E7" s="33">
        <f>$C$27*'E Balans VL '!I9/100/3.6*1000000</f>
        <v>85.071422128242162</v>
      </c>
      <c r="F7" s="33">
        <f>$C$27*('E Balans VL '!L9+'E Balans VL '!N9)/100/3.6*1000000</f>
        <v>1105.3507282444823</v>
      </c>
      <c r="G7" s="34"/>
      <c r="H7" s="33"/>
      <c r="I7" s="33"/>
      <c r="J7" s="33">
        <f>$C$27*('E Balans VL '!D9+'E Balans VL '!E9)/100/3.6*1000000</f>
        <v>0</v>
      </c>
      <c r="K7" s="33"/>
      <c r="L7" s="33"/>
      <c r="M7" s="33"/>
      <c r="N7" s="33">
        <f>$C$27*'E Balans VL '!Y9/100/3.6*1000000</f>
        <v>0.61878219349566976</v>
      </c>
      <c r="O7" s="33"/>
      <c r="P7" s="33"/>
      <c r="R7" s="32"/>
    </row>
    <row r="8" spans="1:18">
      <c r="A8" s="6" t="s">
        <v>52</v>
      </c>
      <c r="B8" s="37">
        <f t="shared" si="0"/>
        <v>10220.156999999999</v>
      </c>
      <c r="C8" s="33"/>
      <c r="D8" s="37">
        <f>IF(ISERROR(TER_handel_gas_kWh/1000),0,TER_handel_gas_kWh/1000)*0.902</f>
        <v>5190.2333779999999</v>
      </c>
      <c r="E8" s="33">
        <f>$C$28*'E Balans VL '!I13/100/3.6*1000000</f>
        <v>322.56377085506296</v>
      </c>
      <c r="F8" s="33">
        <f>$C$28*('E Balans VL '!L13+'E Balans VL '!N13)/100/3.6*1000000</f>
        <v>2004.3527534915027</v>
      </c>
      <c r="G8" s="34"/>
      <c r="H8" s="33"/>
      <c r="I8" s="33"/>
      <c r="J8" s="33">
        <f>$C$28*('E Balans VL '!D13+'E Balans VL '!E13)/100/3.6*1000000</f>
        <v>0</v>
      </c>
      <c r="K8" s="33"/>
      <c r="L8" s="33"/>
      <c r="M8" s="33"/>
      <c r="N8" s="33">
        <f>$C$28*'E Balans VL '!Y13/100/3.6*1000000</f>
        <v>12.129342139877647</v>
      </c>
      <c r="O8" s="33"/>
      <c r="P8" s="33"/>
      <c r="R8" s="32"/>
    </row>
    <row r="9" spans="1:18">
      <c r="A9" s="32" t="s">
        <v>51</v>
      </c>
      <c r="B9" s="37">
        <f t="shared" si="0"/>
        <v>1519.4690000000001</v>
      </c>
      <c r="C9" s="33"/>
      <c r="D9" s="37">
        <f>IF(ISERROR(TER_gezond_gas_kWh/1000),0,TER_gezond_gas_kWh/1000)*0.902</f>
        <v>1651.3392059999999</v>
      </c>
      <c r="E9" s="33">
        <f>$C$29*'E Balans VL '!I10/100/3.6*1000000</f>
        <v>0.1945364830793089</v>
      </c>
      <c r="F9" s="33">
        <f>$C$29*('E Balans VL '!L10+'E Balans VL '!N10)/100/3.6*1000000</f>
        <v>316.56907948226217</v>
      </c>
      <c r="G9" s="34"/>
      <c r="H9" s="33"/>
      <c r="I9" s="33"/>
      <c r="J9" s="33">
        <f>$C$29*('E Balans VL '!D10+'E Balans VL '!E10)/100/3.6*1000000</f>
        <v>0</v>
      </c>
      <c r="K9" s="33"/>
      <c r="L9" s="33"/>
      <c r="M9" s="33"/>
      <c r="N9" s="33">
        <f>$C$29*'E Balans VL '!Y10/100/3.6*1000000</f>
        <v>17.846881600467562</v>
      </c>
      <c r="O9" s="33"/>
      <c r="P9" s="33"/>
      <c r="R9" s="32"/>
    </row>
    <row r="10" spans="1:18">
      <c r="A10" s="32" t="s">
        <v>50</v>
      </c>
      <c r="B10" s="37">
        <f t="shared" si="0"/>
        <v>9825.4490000000005</v>
      </c>
      <c r="C10" s="33"/>
      <c r="D10" s="37">
        <f>IF(ISERROR(TER_ander_gas_kWh/1000),0,TER_ander_gas_kWh/1000)*0.902</f>
        <v>2570.1633100000004</v>
      </c>
      <c r="E10" s="33">
        <f>$C$30*'E Balans VL '!I14/100/3.6*1000000</f>
        <v>14.775164688509335</v>
      </c>
      <c r="F10" s="33">
        <f>$C$30*('E Balans VL '!L14+'E Balans VL '!N14)/100/3.6*1000000</f>
        <v>2169.1424198112641</v>
      </c>
      <c r="G10" s="34"/>
      <c r="H10" s="33"/>
      <c r="I10" s="33"/>
      <c r="J10" s="33">
        <f>$C$30*('E Balans VL '!D14+'E Balans VL '!E14)/100/3.6*1000000</f>
        <v>0</v>
      </c>
      <c r="K10" s="33"/>
      <c r="L10" s="33"/>
      <c r="M10" s="33"/>
      <c r="N10" s="33">
        <f>$C$30*'E Balans VL '!Y14/100/3.6*1000000</f>
        <v>7743.1150397869314</v>
      </c>
      <c r="O10" s="33"/>
      <c r="P10" s="33"/>
      <c r="R10" s="32"/>
    </row>
    <row r="11" spans="1:18">
      <c r="A11" s="32" t="s">
        <v>55</v>
      </c>
      <c r="B11" s="37">
        <f t="shared" si="0"/>
        <v>997.07799999999997</v>
      </c>
      <c r="C11" s="33"/>
      <c r="D11" s="37">
        <f>IF(ISERROR(TER_onderwijs_gas_kWh/1000),0,TER_onderwijs_gas_kWh/1000)*0.902</f>
        <v>3173.649116</v>
      </c>
      <c r="E11" s="33">
        <f>$C$31*'E Balans VL '!I11/100/3.6*1000000</f>
        <v>1.7559379128475807</v>
      </c>
      <c r="F11" s="33">
        <f>$C$31*('E Balans VL '!L11+'E Balans VL '!N11)/100/3.6*1000000</f>
        <v>460.36895469656957</v>
      </c>
      <c r="G11" s="34"/>
      <c r="H11" s="33"/>
      <c r="I11" s="33"/>
      <c r="J11" s="33">
        <f>$C$31*('E Balans VL '!D11+'E Balans VL '!E11)/100/3.6*1000000</f>
        <v>0</v>
      </c>
      <c r="K11" s="33"/>
      <c r="L11" s="33"/>
      <c r="M11" s="33"/>
      <c r="N11" s="33">
        <f>$C$31*'E Balans VL '!Y11/100/3.6*1000000</f>
        <v>1.8575701023710189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29356.899000000001</v>
      </c>
      <c r="C16" s="21">
        <f t="shared" ca="1" si="1"/>
        <v>0</v>
      </c>
      <c r="D16" s="21">
        <f t="shared" ca="1" si="1"/>
        <v>20673.344802</v>
      </c>
      <c r="E16" s="21">
        <f t="shared" si="1"/>
        <v>479.66002805370942</v>
      </c>
      <c r="F16" s="21">
        <f t="shared" ca="1" si="1"/>
        <v>7132.8959850938854</v>
      </c>
      <c r="G16" s="21">
        <f t="shared" si="1"/>
        <v>0</v>
      </c>
      <c r="H16" s="21">
        <f t="shared" si="1"/>
        <v>0</v>
      </c>
      <c r="I16" s="21">
        <f t="shared" si="1"/>
        <v>0</v>
      </c>
      <c r="J16" s="21">
        <f t="shared" si="1"/>
        <v>0</v>
      </c>
      <c r="K16" s="21">
        <f t="shared" si="1"/>
        <v>0</v>
      </c>
      <c r="L16" s="21">
        <f t="shared" ca="1" si="1"/>
        <v>0</v>
      </c>
      <c r="M16" s="21">
        <f t="shared" si="1"/>
        <v>0</v>
      </c>
      <c r="N16" s="21">
        <f t="shared" ca="1" si="1"/>
        <v>7779.8059803883361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0.18841366099537499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5531.2408160614632</v>
      </c>
      <c r="C20" s="23">
        <f t="shared" ref="C20:P20" ca="1" si="2">C16*C18</f>
        <v>0</v>
      </c>
      <c r="D20" s="23">
        <f t="shared" ca="1" si="2"/>
        <v>4176.0156500040002</v>
      </c>
      <c r="E20" s="23">
        <f t="shared" si="2"/>
        <v>108.88282636819204</v>
      </c>
      <c r="F20" s="23">
        <f t="shared" ca="1" si="2"/>
        <v>1904.4832280200676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4224.1400000000003</v>
      </c>
      <c r="C26" s="39">
        <f>IF(ISERROR(B26*3.6/1000000/'E Balans VL '!Z12*100),0,B26*3.6/1000000/'E Balans VL '!Z12*100)</f>
        <v>9.0484360406581796E-2</v>
      </c>
      <c r="D26" s="237" t="s">
        <v>660</v>
      </c>
      <c r="F26" s="6"/>
    </row>
    <row r="27" spans="1:18">
      <c r="A27" s="231" t="s">
        <v>53</v>
      </c>
      <c r="B27" s="33">
        <f>IF(ISERROR(TER_horeca_ele_kWh/1000),0,TER_horeca_ele_kWh/1000)</f>
        <v>2570.6060000000002</v>
      </c>
      <c r="C27" s="39">
        <f>IF(ISERROR(B27*3.6/1000000/'E Balans VL '!Z9*100),0,B27*3.6/1000000/'E Balans VL '!Z9*100)</f>
        <v>0.20628219616474847</v>
      </c>
      <c r="D27" s="237" t="s">
        <v>660</v>
      </c>
      <c r="F27" s="6"/>
    </row>
    <row r="28" spans="1:18">
      <c r="A28" s="171" t="s">
        <v>52</v>
      </c>
      <c r="B28" s="33">
        <f>IF(ISERROR(TER_handel_ele_kWh/1000),0,TER_handel_ele_kWh/1000)</f>
        <v>10220.156999999999</v>
      </c>
      <c r="C28" s="39">
        <f>IF(ISERROR(B28*3.6/1000000/'E Balans VL '!Z13*100),0,B28*3.6/1000000/'E Balans VL '!Z13*100)</f>
        <v>0.30143601101762907</v>
      </c>
      <c r="D28" s="237" t="s">
        <v>660</v>
      </c>
      <c r="F28" s="6"/>
    </row>
    <row r="29" spans="1:18">
      <c r="A29" s="231" t="s">
        <v>51</v>
      </c>
      <c r="B29" s="33">
        <f>IF(ISERROR(TER_gezond_ele_kWh/1000),0,TER_gezond_ele_kWh/1000)</f>
        <v>1519.4690000000001</v>
      </c>
      <c r="C29" s="39">
        <f>IF(ISERROR(B29*3.6/1000000/'E Balans VL '!Z10*100),0,B29*3.6/1000000/'E Balans VL '!Z10*100)</f>
        <v>0.16223855070842919</v>
      </c>
      <c r="D29" s="237" t="s">
        <v>660</v>
      </c>
      <c r="F29" s="6"/>
    </row>
    <row r="30" spans="1:18">
      <c r="A30" s="231" t="s">
        <v>50</v>
      </c>
      <c r="B30" s="33">
        <f>IF(ISERROR(TER_ander_ele_kWh/1000),0,TER_ander_ele_kWh/1000)</f>
        <v>9825.4490000000005</v>
      </c>
      <c r="C30" s="39">
        <f>IF(ISERROR(B30*3.6/1000000/'E Balans VL '!Z14*100),0,B30*3.6/1000000/'E Balans VL '!Z14*100)</f>
        <v>0.742154745951914</v>
      </c>
      <c r="D30" s="237" t="s">
        <v>660</v>
      </c>
      <c r="F30" s="6"/>
    </row>
    <row r="31" spans="1:18">
      <c r="A31" s="231" t="s">
        <v>55</v>
      </c>
      <c r="B31" s="33">
        <f>IF(ISERROR(TER_onderwijs_ele_kWh/1000),0,TER_onderwijs_ele_kWh/1000)</f>
        <v>997.07799999999997</v>
      </c>
      <c r="C31" s="39">
        <f>IF(ISERROR(B31*3.6/1000000/'E Balans VL '!Z11*100),0,B31*3.6/1000000/'E Balans VL '!Z11*100)</f>
        <v>0.2013433332350491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19833.330000000002</v>
      </c>
      <c r="C5" s="17">
        <f>IF(ISERROR('Eigen informatie GS &amp; warmtenet'!B59),0,'Eigen informatie GS &amp; warmtenet'!B59)</f>
        <v>0</v>
      </c>
      <c r="D5" s="30">
        <f>SUM(D6:D15)</f>
        <v>9947.6763319999991</v>
      </c>
      <c r="E5" s="17">
        <f>SUM(E6:E15)</f>
        <v>3082.660308734607</v>
      </c>
      <c r="F5" s="17">
        <f>SUM(F6:F15)</f>
        <v>12070.67283804884</v>
      </c>
      <c r="G5" s="18"/>
      <c r="H5" s="17"/>
      <c r="I5" s="17"/>
      <c r="J5" s="17">
        <f>SUM(J6:J15)</f>
        <v>21.625457642526722</v>
      </c>
      <c r="K5" s="17"/>
      <c r="L5" s="17"/>
      <c r="M5" s="17"/>
      <c r="N5" s="17">
        <f>SUM(N6:N15)</f>
        <v>6133.7579582769195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2894.806</v>
      </c>
      <c r="C8" s="33"/>
      <c r="D8" s="37">
        <f>IF( ISERROR(IND_metaal_Gas_kWH/1000),0,IND_metaal_Gas_kWH/1000)*0.902</f>
        <v>1569.023588</v>
      </c>
      <c r="E8" s="33">
        <f>C30*'E Balans VL '!I18/100/3.6*1000000</f>
        <v>104.16387726179543</v>
      </c>
      <c r="F8" s="33">
        <f>C30*'E Balans VL '!L18/100/3.6*1000000+C30*'E Balans VL '!N18/100/3.6*1000000</f>
        <v>1264.0679406856611</v>
      </c>
      <c r="G8" s="34"/>
      <c r="H8" s="33"/>
      <c r="I8" s="33"/>
      <c r="J8" s="40">
        <f>C30*'E Balans VL '!D18/100/3.6*1000000+C30*'E Balans VL '!E18/100/3.6*1000000</f>
        <v>0</v>
      </c>
      <c r="K8" s="33"/>
      <c r="L8" s="33"/>
      <c r="M8" s="33"/>
      <c r="N8" s="33">
        <f>C30*'E Balans VL '!Y18/100/3.6*1000000</f>
        <v>145.08570949087618</v>
      </c>
      <c r="O8" s="33"/>
      <c r="P8" s="33"/>
      <c r="R8" s="32"/>
    </row>
    <row r="9" spans="1:18">
      <c r="A9" s="6" t="s">
        <v>33</v>
      </c>
      <c r="B9" s="37">
        <f t="shared" si="0"/>
        <v>11118.73</v>
      </c>
      <c r="C9" s="33"/>
      <c r="D9" s="37">
        <f>IF( ISERROR(IND_andere_gas_kWh/1000),0,IND_andere_gas_kWh/1000)*0.902</f>
        <v>6534.0582340000001</v>
      </c>
      <c r="E9" s="33">
        <f>C31*'E Balans VL '!I19/100/3.6*1000000</f>
        <v>2837.2483276875832</v>
      </c>
      <c r="F9" s="33">
        <f>C31*'E Balans VL '!L19/100/3.6*1000000+C31*'E Balans VL '!N19/100/3.6*1000000</f>
        <v>9572.3908137633425</v>
      </c>
      <c r="G9" s="34"/>
      <c r="H9" s="33"/>
      <c r="I9" s="33"/>
      <c r="J9" s="40">
        <f>C31*'E Balans VL '!D19/100/3.6*1000000+C31*'E Balans VL '!E19/100/3.6*1000000</f>
        <v>0</v>
      </c>
      <c r="K9" s="33"/>
      <c r="L9" s="33"/>
      <c r="M9" s="33"/>
      <c r="N9" s="33">
        <f>C31*'E Balans VL '!Y19/100/3.6*1000000</f>
        <v>3477.2076477346432</v>
      </c>
      <c r="O9" s="33"/>
      <c r="P9" s="33"/>
      <c r="R9" s="32"/>
    </row>
    <row r="10" spans="1:18">
      <c r="A10" s="6" t="s">
        <v>41</v>
      </c>
      <c r="B10" s="37">
        <f t="shared" si="0"/>
        <v>5157.0439999999999</v>
      </c>
      <c r="C10" s="33"/>
      <c r="D10" s="37">
        <f>IF( ISERROR(IND_voed_gas_kWh/1000),0,IND_voed_gas_kWh/1000)*0.902</f>
        <v>1192.2428540000001</v>
      </c>
      <c r="E10" s="33">
        <f>C32*'E Balans VL '!I20/100/3.6*1000000</f>
        <v>131.09913968170454</v>
      </c>
      <c r="F10" s="33">
        <f>C32*'E Balans VL '!L20/100/3.6*1000000+C32*'E Balans VL '!N20/100/3.6*1000000</f>
        <v>1166.9616432933806</v>
      </c>
      <c r="G10" s="34"/>
      <c r="H10" s="33"/>
      <c r="I10" s="33"/>
      <c r="J10" s="40">
        <f>C32*'E Balans VL '!D20/100/3.6*1000000+C32*'E Balans VL '!E20/100/3.6*1000000</f>
        <v>0</v>
      </c>
      <c r="K10" s="33"/>
      <c r="L10" s="33"/>
      <c r="M10" s="33"/>
      <c r="N10" s="33">
        <f>C32*'E Balans VL '!Y20/100/3.6*1000000</f>
        <v>1934.0312871759613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308.64699999999999</v>
      </c>
      <c r="C12" s="33"/>
      <c r="D12" s="37">
        <f>IF( ISERROR(IND_min_gas_kWh/1000),0,IND_min_gas_kWh/1000)*0.902</f>
        <v>0</v>
      </c>
      <c r="E12" s="33">
        <f>C34*'E Balans VL '!I22/100/3.6*1000000</f>
        <v>6.5579752120320141</v>
      </c>
      <c r="F12" s="33">
        <f>C34*'E Balans VL '!L22/100/3.6*1000000+C34*'E Balans VL '!N22/100/3.6*1000000</f>
        <v>50.358388370171397</v>
      </c>
      <c r="G12" s="34"/>
      <c r="H12" s="33"/>
      <c r="I12" s="33"/>
      <c r="J12" s="40">
        <f>C34*'E Balans VL '!D22/100/3.6*1000000+C34*'E Balans VL '!E22/100/3.6*1000000</f>
        <v>0.35960255809605196</v>
      </c>
      <c r="K12" s="33"/>
      <c r="L12" s="33"/>
      <c r="M12" s="33"/>
      <c r="N12" s="33">
        <f>C34*'E Balans VL '!Y22/100/3.6*1000000</f>
        <v>0</v>
      </c>
      <c r="O12" s="33"/>
      <c r="P12" s="33"/>
      <c r="R12" s="32"/>
    </row>
    <row r="13" spans="1:18">
      <c r="A13" s="6" t="s">
        <v>39</v>
      </c>
      <c r="B13" s="37">
        <f t="shared" si="0"/>
        <v>312.64299999999997</v>
      </c>
      <c r="C13" s="33"/>
      <c r="D13" s="37">
        <f>IF( ISERROR(IND_papier_gas_kWh/1000),0,IND_papier_gas_kWh/1000)*0.902</f>
        <v>231.427944</v>
      </c>
      <c r="E13" s="33">
        <f>C35*'E Balans VL '!I23/100/3.6*1000000</f>
        <v>1.3408348735913906</v>
      </c>
      <c r="F13" s="33">
        <f>C35*'E Balans VL '!L23/100/3.6*1000000+C35*'E Balans VL '!N23/100/3.6*1000000</f>
        <v>7.8576889720974332</v>
      </c>
      <c r="G13" s="34"/>
      <c r="H13" s="33"/>
      <c r="I13" s="33"/>
      <c r="J13" s="40">
        <f>C35*'E Balans VL '!D23/100/3.6*1000000+C35*'E Balans VL '!E23/100/3.6*1000000</f>
        <v>20.929734073683964</v>
      </c>
      <c r="K13" s="33"/>
      <c r="L13" s="33"/>
      <c r="M13" s="33"/>
      <c r="N13" s="33">
        <f>C35*'E Balans VL '!Y23/100/3.6*1000000</f>
        <v>569.08460934200332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41.46</v>
      </c>
      <c r="C15" s="33"/>
      <c r="D15" s="37">
        <f>IF( ISERROR(IND_rest_gas_kWh/1000),0,IND_rest_gas_kWh/1000)*0.902</f>
        <v>420.92371200000002</v>
      </c>
      <c r="E15" s="33">
        <f>C37*'E Balans VL '!I15/100/3.6*1000000</f>
        <v>2.2501540179004009</v>
      </c>
      <c r="F15" s="33">
        <f>C37*'E Balans VL '!L15/100/3.6*1000000+C37*'E Balans VL '!N15/100/3.6*1000000</f>
        <v>9.0363629641865071</v>
      </c>
      <c r="G15" s="34"/>
      <c r="H15" s="33"/>
      <c r="I15" s="33"/>
      <c r="J15" s="40">
        <f>C37*'E Balans VL '!D15/100/3.6*1000000+C37*'E Balans VL '!E15/100/3.6*1000000</f>
        <v>0.33612101074670353</v>
      </c>
      <c r="K15" s="33"/>
      <c r="L15" s="33"/>
      <c r="M15" s="33"/>
      <c r="N15" s="33">
        <f>C37*'E Balans VL '!Y15/100/3.6*1000000</f>
        <v>8.348704533435674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19833.330000000002</v>
      </c>
      <c r="C18" s="21">
        <f>C5+C16</f>
        <v>0</v>
      </c>
      <c r="D18" s="21">
        <f>MAX((D5+D16),0)</f>
        <v>9947.6763319999991</v>
      </c>
      <c r="E18" s="21">
        <f>MAX((E5+E16),0)</f>
        <v>3082.660308734607</v>
      </c>
      <c r="F18" s="21">
        <f>MAX((F5+F16),0)</f>
        <v>12070.67283804884</v>
      </c>
      <c r="G18" s="21"/>
      <c r="H18" s="21"/>
      <c r="I18" s="21"/>
      <c r="J18" s="21">
        <f>MAX((J5+J16),0)</f>
        <v>21.625457642526722</v>
      </c>
      <c r="K18" s="21"/>
      <c r="L18" s="21">
        <f>MAX((L5+L16),0)</f>
        <v>0</v>
      </c>
      <c r="M18" s="21"/>
      <c r="N18" s="21">
        <f>MAX((N5+N16),0)</f>
        <v>6133.7579582769195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0.18841366099537499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3736.8703150294009</v>
      </c>
      <c r="C22" s="23">
        <f ca="1">C18*C20</f>
        <v>0</v>
      </c>
      <c r="D22" s="23">
        <f>D18*D20</f>
        <v>2009.430619064</v>
      </c>
      <c r="E22" s="23">
        <f>E18*E20</f>
        <v>699.76389008275578</v>
      </c>
      <c r="F22" s="23">
        <f>F18*F20</f>
        <v>3222.8696477590406</v>
      </c>
      <c r="G22" s="23"/>
      <c r="H22" s="23"/>
      <c r="I22" s="23"/>
      <c r="J22" s="23">
        <f>J18*J20</f>
        <v>7.6554120054544592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2894.806</v>
      </c>
      <c r="C30" s="39">
        <f>IF(ISERROR(B30*3.6/1000000/'E Balans VL '!Z18*100),0,B30*3.6/1000000/'E Balans VL '!Z18*100)</f>
        <v>0.61334732839506412</v>
      </c>
      <c r="D30" s="237" t="s">
        <v>660</v>
      </c>
    </row>
    <row r="31" spans="1:18">
      <c r="A31" s="6" t="s">
        <v>33</v>
      </c>
      <c r="B31" s="37">
        <f>IF( ISERROR(IND_ander_ele_kWh/1000),0,IND_ander_ele_kWh/1000)</f>
        <v>11118.73</v>
      </c>
      <c r="C31" s="39">
        <f>IF(ISERROR(B31*3.6/1000000/'E Balans VL '!Z19*100),0,B31*3.6/1000000/'E Balans VL '!Z19*100)</f>
        <v>0.46801259261256983</v>
      </c>
      <c r="D31" s="237" t="s">
        <v>660</v>
      </c>
    </row>
    <row r="32" spans="1:18">
      <c r="A32" s="171" t="s">
        <v>41</v>
      </c>
      <c r="B32" s="37">
        <f>IF( ISERROR(IND_voed_ele_kWh/1000),0,IND_voed_ele_kWh/1000)</f>
        <v>5157.0439999999999</v>
      </c>
      <c r="C32" s="39">
        <f>IF(ISERROR(B32*3.6/1000000/'E Balans VL '!Z20*100),0,B32*3.6/1000000/'E Balans VL '!Z20*100)</f>
        <v>0.86154254813988296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308.64699999999999</v>
      </c>
      <c r="C34" s="39">
        <f>IF(ISERROR(B34*3.6/1000000/'E Balans VL '!Z22*100),0,B34*3.6/1000000/'E Balans VL '!Z22*100)</f>
        <v>3.9122671778354878E-2</v>
      </c>
      <c r="D34" s="237" t="s">
        <v>660</v>
      </c>
    </row>
    <row r="35" spans="1:5">
      <c r="A35" s="171" t="s">
        <v>39</v>
      </c>
      <c r="B35" s="37">
        <f>IF( ISERROR(IND_papier_ele_kWh/1000),0,IND_papier_ele_kWh/1000)</f>
        <v>312.64299999999997</v>
      </c>
      <c r="C35" s="39">
        <f>IF(ISERROR(B35*3.6/1000000/'E Balans VL '!Z22*100),0,B35*3.6/1000000/'E Balans VL '!Z22*100)</f>
        <v>3.9629186328719222E-2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41.46</v>
      </c>
      <c r="C37" s="39">
        <f>IF(ISERROR(B37*3.6/1000000/'E Balans VL '!Z15*100),0,B37*3.6/1000000/'E Balans VL '!Z15*100)</f>
        <v>3.3472263404781715E-4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9672.9441347909997</v>
      </c>
      <c r="C5" s="17">
        <f>'Eigen informatie GS &amp; warmtenet'!B60</f>
        <v>0</v>
      </c>
      <c r="D5" s="30">
        <f>IF(ISERROR(SUM(LB_lb_gas_kWh,LB_rest_gas_kWh,onbekend_gas_kWh)/1000),0,SUM(LB_lb_gas_kWh,LB_rest_gas_kWh,onbekend_gas_kWh)/1000)*0.902</f>
        <v>1083.7205280000001</v>
      </c>
      <c r="E5" s="17">
        <f>B17*'E Balans VL '!I25/3.6*1000000/100</f>
        <v>249.42808942469256</v>
      </c>
      <c r="F5" s="17">
        <f>B17*('E Balans VL '!L25/3.6*1000000+'E Balans VL '!N25/3.6*1000000)/100</f>
        <v>35356.452935386522</v>
      </c>
      <c r="G5" s="18"/>
      <c r="H5" s="17"/>
      <c r="I5" s="17"/>
      <c r="J5" s="17">
        <f>('E Balans VL '!D25+'E Balans VL '!E25)/3.6*1000000*landbouw!B17/100</f>
        <v>1392.5481201311204</v>
      </c>
      <c r="K5" s="17"/>
      <c r="L5" s="17">
        <f>L6*(-1)</f>
        <v>0</v>
      </c>
      <c r="M5" s="17"/>
      <c r="N5" s="17">
        <f>N6*(-1)</f>
        <v>5396.1428571428569</v>
      </c>
      <c r="O5" s="17"/>
      <c r="P5" s="17"/>
      <c r="R5" s="32"/>
    </row>
    <row r="6" spans="1:18">
      <c r="A6" s="16" t="s">
        <v>491</v>
      </c>
      <c r="B6" s="17" t="s">
        <v>211</v>
      </c>
      <c r="C6" s="17">
        <f>'lokale energieproductie'!O91+'lokale energieproductie'!O60</f>
        <v>268.07142857142856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9672.9441347909997</v>
      </c>
      <c r="C8" s="21">
        <f>C5+C6</f>
        <v>268.07142857142856</v>
      </c>
      <c r="D8" s="21">
        <f>MAX((D5+D6),0)</f>
        <v>1083.7205280000001</v>
      </c>
      <c r="E8" s="21">
        <f>MAX((E5+E6),0)</f>
        <v>249.42808942469256</v>
      </c>
      <c r="F8" s="21">
        <f>MAX((F5+F6),0)</f>
        <v>35356.452935386522</v>
      </c>
      <c r="G8" s="21"/>
      <c r="H8" s="21"/>
      <c r="I8" s="21"/>
      <c r="J8" s="21">
        <f>MAX((J5+J6),0)</f>
        <v>1392.5481201311204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0.18841366099537499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1822.5148170397122</v>
      </c>
      <c r="C12" s="23">
        <f ca="1">C8*C10</f>
        <v>0</v>
      </c>
      <c r="D12" s="23">
        <f>D8*D10</f>
        <v>218.91154665600001</v>
      </c>
      <c r="E12" s="23">
        <f>E8*E10</f>
        <v>56.620176299405216</v>
      </c>
      <c r="F12" s="23">
        <f>F8*F10</f>
        <v>9440.1729337482011</v>
      </c>
      <c r="G12" s="23"/>
      <c r="H12" s="23"/>
      <c r="I12" s="23"/>
      <c r="J12" s="23">
        <f>J8*J10</f>
        <v>492.96203452641657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1.3639491951507983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2340.2113904476273</v>
      </c>
      <c r="C26" s="247">
        <f>B26*'GWP N2O_CH4'!B5</f>
        <v>49144.439199400171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1156.2771046726646</v>
      </c>
      <c r="C27" s="247">
        <f>B27*'GWP N2O_CH4'!B5</f>
        <v>24281.819198125955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30.396849766151597</v>
      </c>
      <c r="C28" s="247">
        <f>B28*'GWP N2O_CH4'!B4</f>
        <v>9423.0234275069943</v>
      </c>
      <c r="D28" s="50"/>
    </row>
    <row r="29" spans="1:4">
      <c r="A29" s="41" t="s">
        <v>277</v>
      </c>
      <c r="B29" s="247">
        <f>B34*'ha_N2O bodem landbouw'!B4</f>
        <v>81.078978389506901</v>
      </c>
      <c r="C29" s="247">
        <f>B29*'GWP N2O_CH4'!B4</f>
        <v>25134.483300747139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1.8247176097491446E-2</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1.292074344926435E-4</v>
      </c>
      <c r="C5" s="463" t="s">
        <v>211</v>
      </c>
      <c r="D5" s="448">
        <f>SUM(D6:D11)</f>
        <v>2.8589073221044567E-4</v>
      </c>
      <c r="E5" s="448">
        <f>SUM(E6:E11)</f>
        <v>1.1052656357206673E-3</v>
      </c>
      <c r="F5" s="461" t="s">
        <v>211</v>
      </c>
      <c r="G5" s="448">
        <f>SUM(G6:G11)</f>
        <v>0.38903877304055096</v>
      </c>
      <c r="H5" s="448">
        <f>SUM(H6:H11)</f>
        <v>7.6890803566641769E-2</v>
      </c>
      <c r="I5" s="463" t="s">
        <v>211</v>
      </c>
      <c r="J5" s="463" t="s">
        <v>211</v>
      </c>
      <c r="K5" s="463" t="s">
        <v>211</v>
      </c>
      <c r="L5" s="463" t="s">
        <v>211</v>
      </c>
      <c r="M5" s="448">
        <f>SUM(M6:M11)</f>
        <v>1.4560450274456474E-2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1.1016874162653895E-4</v>
      </c>
      <c r="C6" s="449"/>
      <c r="D6" s="962">
        <f>vkm_2011_GW_PW*SUMIFS(TableVerdeelsleutelVkm[CNG],TableVerdeelsleutelVkm[Voertuigtype],"Lichte voertuigen")*SUMIFS(TableECFTransport[EnergieConsumptieFactor (PJ per km)],TableECFTransport[Index],CONCATENATE($A6,"_CNG_CNG"))</f>
        <v>2.1890721938649216E-4</v>
      </c>
      <c r="E6" s="962">
        <f>vkm_2011_GW_PW*SUMIFS(TableVerdeelsleutelVkm[LPG],TableVerdeelsleutelVkm[Voertuigtype],"Lichte voertuigen")*SUMIFS(TableECFTransport[EnergieConsumptieFactor (PJ per km)],TableECFTransport[Index],CONCATENATE($A6,"_LPG_LPG"))</f>
        <v>8.6147838064135843E-4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0.20482999986963707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5.9264769966023201E-2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8.2294368967552722E-3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0.12203147295030006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3.9421378155216499E-5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3.8450249952279134E-3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1.903869286610454E-5</v>
      </c>
      <c r="C8" s="449"/>
      <c r="D8" s="451">
        <f>vkm_2011_NGW_PW*SUMIFS(TableVerdeelsleutelVkm[CNG],TableVerdeelsleutelVkm[Voertuigtype],"Lichte voertuigen")*SUMIFS(TableECFTransport[EnergieConsumptieFactor (PJ per km)],TableECFTransport[Index],CONCATENATE($A8,"_CNG_CNG"))</f>
        <v>6.6983512823953488E-5</v>
      </c>
      <c r="E8" s="451">
        <f>vkm_2011_NGW_PW*SUMIFS(TableVerdeelsleutelVkm[LPG],TableVerdeelsleutelVkm[Voertuigtype],"Lichte voertuigen")*SUMIFS(TableECFTransport[EnergieConsumptieFactor (PJ per km)],TableECFTransport[Index],CONCATENATE($A8,"_LPG_LPG"))</f>
        <v>2.4378725507930883E-4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5.4127623736853113E-2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1.7584152978043509E-2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2.2323596264785884E-3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8.0496764837607229E-3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2.4592444198438561E-6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2.5362875599469896E-4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35.890954025734302</v>
      </c>
      <c r="C14" s="21"/>
      <c r="D14" s="21">
        <f t="shared" ref="D14:M14" si="0">((D5)*10^9/3600)+D12</f>
        <v>79.414092280679355</v>
      </c>
      <c r="E14" s="21">
        <f t="shared" si="0"/>
        <v>307.01823214462985</v>
      </c>
      <c r="F14" s="21"/>
      <c r="G14" s="21">
        <f t="shared" si="0"/>
        <v>108066.32584459748</v>
      </c>
      <c r="H14" s="21">
        <f t="shared" si="0"/>
        <v>21358.556546289379</v>
      </c>
      <c r="I14" s="21"/>
      <c r="J14" s="21"/>
      <c r="K14" s="21"/>
      <c r="L14" s="21"/>
      <c r="M14" s="21">
        <f t="shared" si="0"/>
        <v>4044.5695206823534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0.18841366099537499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6.7623460446052919</v>
      </c>
      <c r="C18" s="23"/>
      <c r="D18" s="23">
        <f t="shared" ref="D18:M18" si="1">D14*D16</f>
        <v>16.04164664069723</v>
      </c>
      <c r="E18" s="23">
        <f t="shared" si="1"/>
        <v>69.693138696830971</v>
      </c>
      <c r="F18" s="23"/>
      <c r="G18" s="23">
        <f t="shared" si="1"/>
        <v>28853.70900050753</v>
      </c>
      <c r="H18" s="23">
        <f t="shared" si="1"/>
        <v>5318.2805800260558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6.9420645521292542E-3</v>
      </c>
      <c r="H50" s="321">
        <f t="shared" si="2"/>
        <v>0</v>
      </c>
      <c r="I50" s="321">
        <f t="shared" si="2"/>
        <v>0</v>
      </c>
      <c r="J50" s="321">
        <f t="shared" si="2"/>
        <v>0</v>
      </c>
      <c r="K50" s="321">
        <f t="shared" si="2"/>
        <v>0</v>
      </c>
      <c r="L50" s="321">
        <f t="shared" si="2"/>
        <v>0</v>
      </c>
      <c r="M50" s="321">
        <f t="shared" si="2"/>
        <v>2.1532731174457879E-4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6.9420645521292542E-3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2.1532731174457879E-4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1928.3512644803482</v>
      </c>
      <c r="H54" s="21">
        <f t="shared" si="3"/>
        <v>0</v>
      </c>
      <c r="I54" s="21">
        <f t="shared" si="3"/>
        <v>0</v>
      </c>
      <c r="J54" s="21">
        <f t="shared" si="3"/>
        <v>0</v>
      </c>
      <c r="K54" s="21">
        <f t="shared" si="3"/>
        <v>0</v>
      </c>
      <c r="L54" s="21">
        <f t="shared" si="3"/>
        <v>0</v>
      </c>
      <c r="M54" s="21">
        <f t="shared" si="3"/>
        <v>59.81314215127189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0.18841366099537499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514.86978761625301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2821.9842801277414</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8354.1479609372145</v>
      </c>
      <c r="C6" s="1210"/>
      <c r="D6" s="1213"/>
      <c r="E6" s="1213"/>
      <c r="F6" s="1216"/>
      <c r="G6" s="1219"/>
      <c r="H6" s="1207"/>
      <c r="I6" s="1213"/>
      <c r="J6" s="1213"/>
      <c r="K6" s="1213"/>
      <c r="L6" s="1243"/>
      <c r="M6" s="575"/>
      <c r="N6" s="1255"/>
      <c r="O6" s="1256"/>
      <c r="Q6" s="573"/>
      <c r="R6" s="1240"/>
      <c r="S6" s="1240"/>
    </row>
    <row r="7" spans="1:19" s="563" customFormat="1">
      <c r="A7" s="576" t="s">
        <v>252</v>
      </c>
      <c r="B7" s="577">
        <f>N57</f>
        <v>187.64999999999998</v>
      </c>
      <c r="C7" s="578">
        <f>B100</f>
        <v>0</v>
      </c>
      <c r="D7" s="579"/>
      <c r="E7" s="579">
        <f>E100</f>
        <v>0</v>
      </c>
      <c r="F7" s="580"/>
      <c r="G7" s="581"/>
      <c r="H7" s="579">
        <f>I100</f>
        <v>0</v>
      </c>
      <c r="I7" s="579">
        <f>G100+F100</f>
        <v>0</v>
      </c>
      <c r="J7" s="579">
        <f>H100+D100+C100</f>
        <v>220.76470588235293</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1701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13064.782241064955</v>
      </c>
      <c r="C9" s="594">
        <f t="shared" ref="C9:L9" si="0">SUM(C7:C8)</f>
        <v>0</v>
      </c>
      <c r="D9" s="594">
        <f t="shared" si="0"/>
        <v>0</v>
      </c>
      <c r="E9" s="594">
        <f t="shared" si="0"/>
        <v>0</v>
      </c>
      <c r="F9" s="594">
        <f t="shared" si="0"/>
        <v>0</v>
      </c>
      <c r="G9" s="594">
        <f t="shared" si="0"/>
        <v>0</v>
      </c>
      <c r="H9" s="594">
        <f t="shared" si="0"/>
        <v>0</v>
      </c>
      <c r="I9" s="594">
        <f t="shared" si="0"/>
        <v>0</v>
      </c>
      <c r="J9" s="594">
        <f t="shared" si="0"/>
        <v>5080.7647058823532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268.07142857142856</v>
      </c>
      <c r="C16" s="610">
        <f>B101</f>
        <v>0</v>
      </c>
      <c r="D16" s="611"/>
      <c r="E16" s="611">
        <f>E101</f>
        <v>0</v>
      </c>
      <c r="F16" s="612"/>
      <c r="G16" s="613"/>
      <c r="H16" s="610">
        <f>I101</f>
        <v>0</v>
      </c>
      <c r="I16" s="611">
        <f>G101+F101</f>
        <v>0</v>
      </c>
      <c r="J16" s="611">
        <f>H101+D101+C101</f>
        <v>315.37815126050418</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268.07142857142856</v>
      </c>
      <c r="C19" s="593">
        <f>SUM(C16:C18)</f>
        <v>0</v>
      </c>
      <c r="D19" s="593">
        <f t="shared" ref="D19:M19" si="1">SUM(D16:D18)</f>
        <v>0</v>
      </c>
      <c r="E19" s="593">
        <f t="shared" si="1"/>
        <v>0</v>
      </c>
      <c r="F19" s="593">
        <f t="shared" si="1"/>
        <v>0</v>
      </c>
      <c r="G19" s="593">
        <f t="shared" si="1"/>
        <v>0</v>
      </c>
      <c r="H19" s="593">
        <f t="shared" si="1"/>
        <v>0</v>
      </c>
      <c r="I19" s="593">
        <f t="shared" si="1"/>
        <v>0</v>
      </c>
      <c r="J19" s="593">
        <f t="shared" si="1"/>
        <v>315.37815126050418</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32003</v>
      </c>
      <c r="C27" s="851">
        <v>8600</v>
      </c>
      <c r="D27" s="672" t="s">
        <v>855</v>
      </c>
      <c r="E27" s="671" t="s">
        <v>856</v>
      </c>
      <c r="F27" s="671" t="s">
        <v>857</v>
      </c>
      <c r="G27" s="671" t="s">
        <v>858</v>
      </c>
      <c r="H27" s="671" t="s">
        <v>859</v>
      </c>
      <c r="I27" s="671" t="s">
        <v>860</v>
      </c>
      <c r="J27" s="850">
        <v>41117</v>
      </c>
      <c r="K27" s="850">
        <v>41244</v>
      </c>
      <c r="L27" s="671" t="s">
        <v>861</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32003</v>
      </c>
      <c r="C28" s="851">
        <v>8600</v>
      </c>
      <c r="D28" s="672"/>
      <c r="E28" s="671"/>
      <c r="F28" s="671" t="s">
        <v>862</v>
      </c>
      <c r="G28" s="671" t="s">
        <v>858</v>
      </c>
      <c r="H28" s="671" t="s">
        <v>859</v>
      </c>
      <c r="I28" s="671" t="s">
        <v>863</v>
      </c>
      <c r="J28" s="850">
        <v>40882</v>
      </c>
      <c r="K28" s="850">
        <v>41250</v>
      </c>
      <c r="L28" s="671" t="s">
        <v>864</v>
      </c>
      <c r="M28" s="671">
        <v>32</v>
      </c>
      <c r="N28" s="671">
        <v>144</v>
      </c>
      <c r="O28" s="671">
        <v>205.71428571428572</v>
      </c>
      <c r="P28" s="671">
        <v>0</v>
      </c>
      <c r="Q28" s="671">
        <v>0</v>
      </c>
      <c r="R28" s="671">
        <v>0</v>
      </c>
      <c r="S28" s="671">
        <v>0</v>
      </c>
      <c r="T28" s="671">
        <v>0</v>
      </c>
      <c r="U28" s="671">
        <v>0</v>
      </c>
      <c r="V28" s="671">
        <v>411.42857142857144</v>
      </c>
      <c r="W28" s="671">
        <v>0</v>
      </c>
      <c r="X28" s="671">
        <v>10</v>
      </c>
      <c r="Y28" s="671" t="s">
        <v>865</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41.7</v>
      </c>
      <c r="N57" s="629">
        <f>SUM(N27:N56)</f>
        <v>187.64999999999998</v>
      </c>
      <c r="O57" s="629">
        <f t="shared" ref="O57:W57" si="2">SUM(O27:O56)</f>
        <v>268.07142857142856</v>
      </c>
      <c r="P57" s="629">
        <f t="shared" si="2"/>
        <v>0</v>
      </c>
      <c r="Q57" s="629">
        <f t="shared" si="2"/>
        <v>124.71428571428569</v>
      </c>
      <c r="R57" s="629">
        <f t="shared" si="2"/>
        <v>0</v>
      </c>
      <c r="S57" s="629">
        <f t="shared" si="2"/>
        <v>0</v>
      </c>
      <c r="T57" s="629">
        <f t="shared" si="2"/>
        <v>0</v>
      </c>
      <c r="U57" s="629">
        <f t="shared" si="2"/>
        <v>0</v>
      </c>
      <c r="V57" s="629">
        <f t="shared" si="2"/>
        <v>411.42857142857144</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41.7</v>
      </c>
      <c r="N60" s="634">
        <f t="shared" ref="N60:W60" si="4">SUMIF($Z$27:$Z$56,"landbouw",N27:N56)</f>
        <v>187.64999999999998</v>
      </c>
      <c r="O60" s="634">
        <f t="shared" si="4"/>
        <v>268.07142857142856</v>
      </c>
      <c r="P60" s="634">
        <f t="shared" si="4"/>
        <v>0</v>
      </c>
      <c r="Q60" s="634">
        <f t="shared" si="4"/>
        <v>124.71428571428569</v>
      </c>
      <c r="R60" s="634">
        <f t="shared" si="4"/>
        <v>0</v>
      </c>
      <c r="S60" s="634">
        <f t="shared" si="4"/>
        <v>0</v>
      </c>
      <c r="T60" s="634">
        <f t="shared" si="4"/>
        <v>0</v>
      </c>
      <c r="U60" s="634">
        <f t="shared" si="4"/>
        <v>0</v>
      </c>
      <c r="V60" s="634">
        <f t="shared" si="4"/>
        <v>411.42857142857144</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32003</v>
      </c>
      <c r="C63" s="851">
        <v>8600</v>
      </c>
      <c r="D63" s="674" t="s">
        <v>866</v>
      </c>
      <c r="E63" s="674" t="s">
        <v>867</v>
      </c>
      <c r="F63" s="674" t="s">
        <v>868</v>
      </c>
      <c r="G63" s="674" t="s">
        <v>869</v>
      </c>
      <c r="H63" s="674" t="s">
        <v>870</v>
      </c>
      <c r="I63" s="674" t="s">
        <v>871</v>
      </c>
      <c r="J63" s="850">
        <v>39340</v>
      </c>
      <c r="K63" s="850">
        <v>40704</v>
      </c>
      <c r="L63" s="674" t="s">
        <v>861</v>
      </c>
      <c r="M63" s="674">
        <v>378</v>
      </c>
      <c r="N63" s="674">
        <v>1701</v>
      </c>
      <c r="O63" s="674">
        <v>0</v>
      </c>
      <c r="P63" s="674">
        <v>0</v>
      </c>
      <c r="Q63" s="674">
        <v>0</v>
      </c>
      <c r="R63" s="674">
        <v>0</v>
      </c>
      <c r="S63" s="674">
        <v>0</v>
      </c>
      <c r="T63" s="674">
        <v>0</v>
      </c>
      <c r="U63" s="674">
        <v>0</v>
      </c>
      <c r="V63" s="674">
        <v>4860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378</v>
      </c>
      <c r="N88" s="629">
        <f t="shared" ref="N88:W88" si="5">SUM(N63:N87)</f>
        <v>1701</v>
      </c>
      <c r="O88" s="629">
        <f t="shared" si="5"/>
        <v>0</v>
      </c>
      <c r="P88" s="629">
        <f t="shared" si="5"/>
        <v>0</v>
      </c>
      <c r="Q88" s="629">
        <f t="shared" si="5"/>
        <v>0</v>
      </c>
      <c r="R88" s="629">
        <f t="shared" si="5"/>
        <v>0</v>
      </c>
      <c r="S88" s="629">
        <f t="shared" si="5"/>
        <v>0</v>
      </c>
      <c r="T88" s="629">
        <f t="shared" si="5"/>
        <v>0</v>
      </c>
      <c r="U88" s="629">
        <f t="shared" si="5"/>
        <v>0</v>
      </c>
      <c r="V88" s="629">
        <f t="shared" si="5"/>
        <v>4860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378</v>
      </c>
      <c r="N91" s="634">
        <f t="shared" si="8"/>
        <v>1701</v>
      </c>
      <c r="O91" s="634">
        <f t="shared" si="8"/>
        <v>0</v>
      </c>
      <c r="P91" s="634">
        <f t="shared" si="8"/>
        <v>0</v>
      </c>
      <c r="Q91" s="634">
        <f t="shared" si="8"/>
        <v>0</v>
      </c>
      <c r="R91" s="634">
        <f t="shared" si="8"/>
        <v>0</v>
      </c>
      <c r="S91" s="634">
        <f t="shared" si="8"/>
        <v>0</v>
      </c>
      <c r="T91" s="634">
        <f t="shared" si="8"/>
        <v>0</v>
      </c>
      <c r="U91" s="634">
        <f t="shared" si="8"/>
        <v>0</v>
      </c>
      <c r="V91" s="634">
        <f t="shared" si="8"/>
        <v>4860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169.41176470588235</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242.0168067226891</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30534.377</v>
      </c>
      <c r="D10" s="718">
        <f ca="1">tertiair!C16</f>
        <v>0</v>
      </c>
      <c r="E10" s="718">
        <f ca="1">tertiair!D16</f>
        <v>20673.344802</v>
      </c>
      <c r="F10" s="718">
        <f>tertiair!E16</f>
        <v>479.66002805370942</v>
      </c>
      <c r="G10" s="718">
        <f ca="1">tertiair!F16</f>
        <v>7132.8959850938854</v>
      </c>
      <c r="H10" s="718">
        <f>tertiair!G16</f>
        <v>0</v>
      </c>
      <c r="I10" s="718">
        <f>tertiair!H16</f>
        <v>0</v>
      </c>
      <c r="J10" s="718">
        <f>tertiair!I16</f>
        <v>0</v>
      </c>
      <c r="K10" s="718">
        <f>tertiair!J16</f>
        <v>0</v>
      </c>
      <c r="L10" s="718">
        <f>tertiair!K16</f>
        <v>0</v>
      </c>
      <c r="M10" s="718">
        <f ca="1">tertiair!L16</f>
        <v>0</v>
      </c>
      <c r="N10" s="718">
        <f>tertiair!M16</f>
        <v>0</v>
      </c>
      <c r="O10" s="718">
        <f ca="1">tertiair!N16</f>
        <v>7779.8059803883361</v>
      </c>
      <c r="P10" s="718">
        <f>tertiair!O16</f>
        <v>3.1266666666666669</v>
      </c>
      <c r="Q10" s="719">
        <f>tertiair!P16</f>
        <v>19.066666666666666</v>
      </c>
      <c r="R10" s="721">
        <f ca="1">SUM(C10:Q10)</f>
        <v>66622.27712886926</v>
      </c>
      <c r="S10" s="67"/>
    </row>
    <row r="11" spans="1:19" s="474" customFormat="1">
      <c r="A11" s="870" t="s">
        <v>225</v>
      </c>
      <c r="B11" s="875"/>
      <c r="C11" s="718">
        <f>huishoudens!B8</f>
        <v>28528.59010678075</v>
      </c>
      <c r="D11" s="718">
        <f>huishoudens!C8</f>
        <v>0</v>
      </c>
      <c r="E11" s="718">
        <f>huishoudens!D8</f>
        <v>55471.693002</v>
      </c>
      <c r="F11" s="718">
        <f>huishoudens!E8</f>
        <v>10881.415871958226</v>
      </c>
      <c r="G11" s="718">
        <f>huishoudens!F8</f>
        <v>9987.5858429202453</v>
      </c>
      <c r="H11" s="718">
        <f>huishoudens!G8</f>
        <v>0</v>
      </c>
      <c r="I11" s="718">
        <f>huishoudens!H8</f>
        <v>0</v>
      </c>
      <c r="J11" s="718">
        <f>huishoudens!I8</f>
        <v>0</v>
      </c>
      <c r="K11" s="718">
        <f>huishoudens!J8</f>
        <v>3240.9445386605507</v>
      </c>
      <c r="L11" s="718">
        <f>huishoudens!K8</f>
        <v>0</v>
      </c>
      <c r="M11" s="718">
        <f>huishoudens!L8</f>
        <v>0</v>
      </c>
      <c r="N11" s="718">
        <f>huishoudens!M8</f>
        <v>0</v>
      </c>
      <c r="O11" s="718">
        <f>huishoudens!N8</f>
        <v>26406.182464558675</v>
      </c>
      <c r="P11" s="718">
        <f>huishoudens!O8</f>
        <v>304.85000000000002</v>
      </c>
      <c r="Q11" s="719">
        <f>huishoudens!P8</f>
        <v>648.26666666666665</v>
      </c>
      <c r="R11" s="721">
        <f>SUM(C11:Q11)</f>
        <v>135469.52849354511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19833.330000000002</v>
      </c>
      <c r="D13" s="718">
        <f>industrie!C18</f>
        <v>0</v>
      </c>
      <c r="E13" s="718">
        <f>industrie!D18</f>
        <v>9947.6763319999991</v>
      </c>
      <c r="F13" s="718">
        <f>industrie!E18</f>
        <v>3082.660308734607</v>
      </c>
      <c r="G13" s="718">
        <f>industrie!F18</f>
        <v>12070.67283804884</v>
      </c>
      <c r="H13" s="718">
        <f>industrie!G18</f>
        <v>0</v>
      </c>
      <c r="I13" s="718">
        <f>industrie!H18</f>
        <v>0</v>
      </c>
      <c r="J13" s="718">
        <f>industrie!I18</f>
        <v>0</v>
      </c>
      <c r="K13" s="718">
        <f>industrie!J18</f>
        <v>21.625457642526722</v>
      </c>
      <c r="L13" s="718">
        <f>industrie!K18</f>
        <v>0</v>
      </c>
      <c r="M13" s="718">
        <f>industrie!L18</f>
        <v>0</v>
      </c>
      <c r="N13" s="718">
        <f>industrie!M18</f>
        <v>0</v>
      </c>
      <c r="O13" s="718">
        <f>industrie!N18</f>
        <v>6133.7579582769195</v>
      </c>
      <c r="P13" s="718">
        <f>industrie!O18</f>
        <v>0</v>
      </c>
      <c r="Q13" s="719">
        <f>industrie!P18</f>
        <v>0</v>
      </c>
      <c r="R13" s="721">
        <f>SUM(C13:Q13)</f>
        <v>51089.722894702893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78896.297106780752</v>
      </c>
      <c r="D15" s="723">
        <f t="shared" ref="D15:Q15" ca="1" si="0">SUM(D9:D14)</f>
        <v>0</v>
      </c>
      <c r="E15" s="723">
        <f t="shared" ca="1" si="0"/>
        <v>86092.714135999995</v>
      </c>
      <c r="F15" s="723">
        <f t="shared" si="0"/>
        <v>14443.736208746543</v>
      </c>
      <c r="G15" s="723">
        <f t="shared" ca="1" si="0"/>
        <v>29191.154666062968</v>
      </c>
      <c r="H15" s="723">
        <f t="shared" si="0"/>
        <v>0</v>
      </c>
      <c r="I15" s="723">
        <f t="shared" si="0"/>
        <v>0</v>
      </c>
      <c r="J15" s="723">
        <f t="shared" si="0"/>
        <v>0</v>
      </c>
      <c r="K15" s="723">
        <f t="shared" si="0"/>
        <v>3262.5699963030775</v>
      </c>
      <c r="L15" s="723">
        <f t="shared" si="0"/>
        <v>0</v>
      </c>
      <c r="M15" s="723">
        <f t="shared" ca="1" si="0"/>
        <v>0</v>
      </c>
      <c r="N15" s="723">
        <f t="shared" si="0"/>
        <v>0</v>
      </c>
      <c r="O15" s="723">
        <f t="shared" ca="1" si="0"/>
        <v>40319.74640322393</v>
      </c>
      <c r="P15" s="723">
        <f t="shared" si="0"/>
        <v>307.97666666666669</v>
      </c>
      <c r="Q15" s="724">
        <f t="shared" si="0"/>
        <v>667.33333333333337</v>
      </c>
      <c r="R15" s="725">
        <f ca="1">SUM(R9:R14)</f>
        <v>253181.52851711726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1928.3512644803482</v>
      </c>
      <c r="I18" s="718">
        <f>transport!H54</f>
        <v>0</v>
      </c>
      <c r="J18" s="718">
        <f>transport!I54</f>
        <v>0</v>
      </c>
      <c r="K18" s="718">
        <f>transport!J54</f>
        <v>0</v>
      </c>
      <c r="L18" s="718">
        <f>transport!K54</f>
        <v>0</v>
      </c>
      <c r="M18" s="718">
        <f>transport!L54</f>
        <v>0</v>
      </c>
      <c r="N18" s="718">
        <f>transport!M54</f>
        <v>59.81314215127189</v>
      </c>
      <c r="O18" s="718">
        <f>transport!N54</f>
        <v>0</v>
      </c>
      <c r="P18" s="718">
        <f>transport!O54</f>
        <v>0</v>
      </c>
      <c r="Q18" s="719">
        <f>transport!P54</f>
        <v>0</v>
      </c>
      <c r="R18" s="721">
        <f>SUM(C18:Q18)</f>
        <v>1988.1644066316201</v>
      </c>
      <c r="S18" s="67"/>
    </row>
    <row r="19" spans="1:19" s="474" customFormat="1" ht="15" thickBot="1">
      <c r="A19" s="870" t="s">
        <v>307</v>
      </c>
      <c r="B19" s="875"/>
      <c r="C19" s="727">
        <f>transport!B14</f>
        <v>35.890954025734302</v>
      </c>
      <c r="D19" s="727">
        <f>transport!C14</f>
        <v>0</v>
      </c>
      <c r="E19" s="727">
        <f>transport!D14</f>
        <v>79.414092280679355</v>
      </c>
      <c r="F19" s="727">
        <f>transport!E14</f>
        <v>307.01823214462985</v>
      </c>
      <c r="G19" s="727">
        <f>transport!F14</f>
        <v>0</v>
      </c>
      <c r="H19" s="727">
        <f>transport!G14</f>
        <v>108066.32584459748</v>
      </c>
      <c r="I19" s="727">
        <f>transport!H14</f>
        <v>21358.556546289379</v>
      </c>
      <c r="J19" s="727">
        <f>transport!I14</f>
        <v>0</v>
      </c>
      <c r="K19" s="727">
        <f>transport!J14</f>
        <v>0</v>
      </c>
      <c r="L19" s="727">
        <f>transport!K14</f>
        <v>0</v>
      </c>
      <c r="M19" s="727">
        <f>transport!L14</f>
        <v>0</v>
      </c>
      <c r="N19" s="727">
        <f>transport!M14</f>
        <v>4044.5695206823534</v>
      </c>
      <c r="O19" s="727">
        <f>transport!N14</f>
        <v>0</v>
      </c>
      <c r="P19" s="727">
        <f>transport!O14</f>
        <v>0</v>
      </c>
      <c r="Q19" s="728">
        <f>transport!P14</f>
        <v>0</v>
      </c>
      <c r="R19" s="729">
        <f>SUM(C19:Q19)</f>
        <v>133891.77519002027</v>
      </c>
      <c r="S19" s="67"/>
    </row>
    <row r="20" spans="1:19" s="474" customFormat="1" ht="15.75" thickBot="1">
      <c r="A20" s="730" t="s">
        <v>230</v>
      </c>
      <c r="B20" s="878"/>
      <c r="C20" s="873">
        <f>SUM(C17:C19)</f>
        <v>35.890954025734302</v>
      </c>
      <c r="D20" s="731">
        <f t="shared" ref="D20:R20" si="1">SUM(D17:D19)</f>
        <v>0</v>
      </c>
      <c r="E20" s="731">
        <f t="shared" si="1"/>
        <v>79.414092280679355</v>
      </c>
      <c r="F20" s="731">
        <f t="shared" si="1"/>
        <v>307.01823214462985</v>
      </c>
      <c r="G20" s="731">
        <f t="shared" si="1"/>
        <v>0</v>
      </c>
      <c r="H20" s="731">
        <f t="shared" si="1"/>
        <v>109994.67710907782</v>
      </c>
      <c r="I20" s="731">
        <f t="shared" si="1"/>
        <v>21358.556546289379</v>
      </c>
      <c r="J20" s="731">
        <f t="shared" si="1"/>
        <v>0</v>
      </c>
      <c r="K20" s="731">
        <f t="shared" si="1"/>
        <v>0</v>
      </c>
      <c r="L20" s="731">
        <f t="shared" si="1"/>
        <v>0</v>
      </c>
      <c r="M20" s="731">
        <f t="shared" si="1"/>
        <v>0</v>
      </c>
      <c r="N20" s="731">
        <f t="shared" si="1"/>
        <v>4104.3826628336255</v>
      </c>
      <c r="O20" s="731">
        <f t="shared" si="1"/>
        <v>0</v>
      </c>
      <c r="P20" s="731">
        <f t="shared" si="1"/>
        <v>0</v>
      </c>
      <c r="Q20" s="732">
        <f t="shared" si="1"/>
        <v>0</v>
      </c>
      <c r="R20" s="733">
        <f t="shared" si="1"/>
        <v>135879.93959665188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9672.9441347909997</v>
      </c>
      <c r="D22" s="727">
        <f>+landbouw!C8</f>
        <v>268.07142857142856</v>
      </c>
      <c r="E22" s="727">
        <f>+landbouw!D8</f>
        <v>1083.7205280000001</v>
      </c>
      <c r="F22" s="727">
        <f>+landbouw!E8</f>
        <v>249.42808942469256</v>
      </c>
      <c r="G22" s="727">
        <f>+landbouw!F8</f>
        <v>35356.452935386522</v>
      </c>
      <c r="H22" s="727">
        <f>+landbouw!G8</f>
        <v>0</v>
      </c>
      <c r="I22" s="727">
        <f>+landbouw!H8</f>
        <v>0</v>
      </c>
      <c r="J22" s="727">
        <f>+landbouw!I8</f>
        <v>0</v>
      </c>
      <c r="K22" s="727">
        <f>+landbouw!J8</f>
        <v>1392.5481201311204</v>
      </c>
      <c r="L22" s="727">
        <f>+landbouw!K8</f>
        <v>0</v>
      </c>
      <c r="M22" s="727">
        <f>+landbouw!L8</f>
        <v>0</v>
      </c>
      <c r="N22" s="727">
        <f>+landbouw!M8</f>
        <v>0</v>
      </c>
      <c r="O22" s="727">
        <f>+landbouw!N8</f>
        <v>0</v>
      </c>
      <c r="P22" s="727">
        <f>+landbouw!O8</f>
        <v>0</v>
      </c>
      <c r="Q22" s="728">
        <f>+landbouw!P8</f>
        <v>0</v>
      </c>
      <c r="R22" s="729">
        <f>SUM(C22:Q22)</f>
        <v>48023.165236304761</v>
      </c>
      <c r="S22" s="67"/>
    </row>
    <row r="23" spans="1:19" s="474" customFormat="1" ht="17.25" thickTop="1" thickBot="1">
      <c r="A23" s="734" t="s">
        <v>116</v>
      </c>
      <c r="B23" s="864"/>
      <c r="C23" s="735">
        <f ca="1">C20+C15+C22</f>
        <v>88605.132195597485</v>
      </c>
      <c r="D23" s="735">
        <f t="shared" ref="D23:Q23" ca="1" si="2">D20+D15+D22</f>
        <v>268.07142857142856</v>
      </c>
      <c r="E23" s="735">
        <f t="shared" ca="1" si="2"/>
        <v>87255.848756280684</v>
      </c>
      <c r="F23" s="735">
        <f t="shared" si="2"/>
        <v>15000.182530315866</v>
      </c>
      <c r="G23" s="735">
        <f t="shared" ca="1" si="2"/>
        <v>64547.60760144949</v>
      </c>
      <c r="H23" s="735">
        <f t="shared" si="2"/>
        <v>109994.67710907782</v>
      </c>
      <c r="I23" s="735">
        <f t="shared" si="2"/>
        <v>21358.556546289379</v>
      </c>
      <c r="J23" s="735">
        <f t="shared" si="2"/>
        <v>0</v>
      </c>
      <c r="K23" s="735">
        <f t="shared" si="2"/>
        <v>4655.1181164341979</v>
      </c>
      <c r="L23" s="735">
        <f t="shared" si="2"/>
        <v>0</v>
      </c>
      <c r="M23" s="735">
        <f t="shared" ca="1" si="2"/>
        <v>0</v>
      </c>
      <c r="N23" s="735">
        <f t="shared" si="2"/>
        <v>4104.3826628336255</v>
      </c>
      <c r="O23" s="735">
        <f t="shared" ca="1" si="2"/>
        <v>40319.74640322393</v>
      </c>
      <c r="P23" s="735">
        <f t="shared" si="2"/>
        <v>307.97666666666669</v>
      </c>
      <c r="Q23" s="736">
        <f t="shared" si="2"/>
        <v>667.33333333333337</v>
      </c>
      <c r="R23" s="737">
        <f ca="1">R20+R15+R22</f>
        <v>437084.63335007388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5753.0937567829751</v>
      </c>
      <c r="D36" s="718">
        <f ca="1">tertiair!C20</f>
        <v>0</v>
      </c>
      <c r="E36" s="718">
        <f ca="1">tertiair!D20</f>
        <v>4176.0156500040002</v>
      </c>
      <c r="F36" s="718">
        <f>tertiair!E20</f>
        <v>108.88282636819204</v>
      </c>
      <c r="G36" s="718">
        <f ca="1">tertiair!F20</f>
        <v>1904.4832280200676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11942.475461175234</v>
      </c>
    </row>
    <row r="37" spans="1:18">
      <c r="A37" s="885" t="s">
        <v>225</v>
      </c>
      <c r="B37" s="892"/>
      <c r="C37" s="718">
        <f ca="1">huishoudens!B12</f>
        <v>5375.1761050549967</v>
      </c>
      <c r="D37" s="718">
        <f ca="1">huishoudens!C12</f>
        <v>0</v>
      </c>
      <c r="E37" s="718">
        <f>huishoudens!D12</f>
        <v>11205.281986404001</v>
      </c>
      <c r="F37" s="718">
        <f>huishoudens!E12</f>
        <v>2470.0814029345174</v>
      </c>
      <c r="G37" s="718">
        <f>huishoudens!F12</f>
        <v>2666.6854200597058</v>
      </c>
      <c r="H37" s="718">
        <f>huishoudens!G12</f>
        <v>0</v>
      </c>
      <c r="I37" s="718">
        <f>huishoudens!H12</f>
        <v>0</v>
      </c>
      <c r="J37" s="718">
        <f>huishoudens!I12</f>
        <v>0</v>
      </c>
      <c r="K37" s="718">
        <f>huishoudens!J12</f>
        <v>1147.2943666858348</v>
      </c>
      <c r="L37" s="718">
        <f>huishoudens!K12</f>
        <v>0</v>
      </c>
      <c r="M37" s="718">
        <f>huishoudens!L12</f>
        <v>0</v>
      </c>
      <c r="N37" s="718">
        <f>huishoudens!M12</f>
        <v>0</v>
      </c>
      <c r="O37" s="718">
        <f>huishoudens!N12</f>
        <v>0</v>
      </c>
      <c r="P37" s="718">
        <f>huishoudens!O12</f>
        <v>0</v>
      </c>
      <c r="Q37" s="828">
        <f>huishoudens!P12</f>
        <v>0</v>
      </c>
      <c r="R37" s="917">
        <f ca="1">SUM(C37:Q37)</f>
        <v>22864.519281139052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3736.8703150294009</v>
      </c>
      <c r="D39" s="718">
        <f ca="1">industrie!C22</f>
        <v>0</v>
      </c>
      <c r="E39" s="718">
        <f>industrie!D22</f>
        <v>2009.430619064</v>
      </c>
      <c r="F39" s="718">
        <f>industrie!E22</f>
        <v>699.76389008275578</v>
      </c>
      <c r="G39" s="718">
        <f>industrie!F22</f>
        <v>3222.8696477590406</v>
      </c>
      <c r="H39" s="718">
        <f>industrie!G22</f>
        <v>0</v>
      </c>
      <c r="I39" s="718">
        <f>industrie!H22</f>
        <v>0</v>
      </c>
      <c r="J39" s="718">
        <f>industrie!I22</f>
        <v>0</v>
      </c>
      <c r="K39" s="718">
        <f>industrie!J22</f>
        <v>7.6554120054544592</v>
      </c>
      <c r="L39" s="718">
        <f>industrie!K22</f>
        <v>0</v>
      </c>
      <c r="M39" s="718">
        <f>industrie!L22</f>
        <v>0</v>
      </c>
      <c r="N39" s="718">
        <f>industrie!M22</f>
        <v>0</v>
      </c>
      <c r="O39" s="718">
        <f>industrie!N22</f>
        <v>0</v>
      </c>
      <c r="P39" s="718">
        <f>industrie!O22</f>
        <v>0</v>
      </c>
      <c r="Q39" s="828">
        <f>industrie!P22</f>
        <v>0</v>
      </c>
      <c r="R39" s="918">
        <f ca="1">SUM(C39:Q39)</f>
        <v>9676.5898839406527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14865.140176867373</v>
      </c>
      <c r="D41" s="763">
        <f t="shared" ref="D41:R41" ca="1" si="4">SUM(D35:D40)</f>
        <v>0</v>
      </c>
      <c r="E41" s="763">
        <f t="shared" ca="1" si="4"/>
        <v>17390.728255472</v>
      </c>
      <c r="F41" s="763">
        <f t="shared" si="4"/>
        <v>3278.7281193854651</v>
      </c>
      <c r="G41" s="763">
        <f t="shared" ca="1" si="4"/>
        <v>7794.0382958388145</v>
      </c>
      <c r="H41" s="763">
        <f t="shared" si="4"/>
        <v>0</v>
      </c>
      <c r="I41" s="763">
        <f t="shared" si="4"/>
        <v>0</v>
      </c>
      <c r="J41" s="763">
        <f t="shared" si="4"/>
        <v>0</v>
      </c>
      <c r="K41" s="763">
        <f t="shared" si="4"/>
        <v>1154.9497786912893</v>
      </c>
      <c r="L41" s="763">
        <f t="shared" si="4"/>
        <v>0</v>
      </c>
      <c r="M41" s="763">
        <f t="shared" ca="1" si="4"/>
        <v>0</v>
      </c>
      <c r="N41" s="763">
        <f t="shared" si="4"/>
        <v>0</v>
      </c>
      <c r="O41" s="763">
        <f t="shared" ca="1" si="4"/>
        <v>0</v>
      </c>
      <c r="P41" s="763">
        <f t="shared" si="4"/>
        <v>0</v>
      </c>
      <c r="Q41" s="764">
        <f t="shared" si="4"/>
        <v>0</v>
      </c>
      <c r="R41" s="765">
        <f t="shared" ca="1" si="4"/>
        <v>44483.584626254938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514.86978761625301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514.86978761625301</v>
      </c>
    </row>
    <row r="45" spans="1:18" ht="15" thickBot="1">
      <c r="A45" s="888" t="s">
        <v>307</v>
      </c>
      <c r="B45" s="898"/>
      <c r="C45" s="727">
        <f ca="1">transport!B18</f>
        <v>6.7623460446052919</v>
      </c>
      <c r="D45" s="727">
        <f>transport!C18</f>
        <v>0</v>
      </c>
      <c r="E45" s="727">
        <f>transport!D18</f>
        <v>16.04164664069723</v>
      </c>
      <c r="F45" s="727">
        <f>transport!E18</f>
        <v>69.693138696830971</v>
      </c>
      <c r="G45" s="727">
        <f>transport!F18</f>
        <v>0</v>
      </c>
      <c r="H45" s="727">
        <f>transport!G18</f>
        <v>28853.70900050753</v>
      </c>
      <c r="I45" s="727">
        <f>transport!H18</f>
        <v>5318.2805800260558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34264.486711915721</v>
      </c>
    </row>
    <row r="46" spans="1:18" ht="15.75" thickBot="1">
      <c r="A46" s="886" t="s">
        <v>230</v>
      </c>
      <c r="B46" s="899"/>
      <c r="C46" s="763">
        <f t="shared" ref="C46:R46" ca="1" si="5">SUM(C43:C45)</f>
        <v>6.7623460446052919</v>
      </c>
      <c r="D46" s="763">
        <f t="shared" ca="1" si="5"/>
        <v>0</v>
      </c>
      <c r="E46" s="763">
        <f t="shared" si="5"/>
        <v>16.04164664069723</v>
      </c>
      <c r="F46" s="763">
        <f t="shared" si="5"/>
        <v>69.693138696830971</v>
      </c>
      <c r="G46" s="763">
        <f t="shared" si="5"/>
        <v>0</v>
      </c>
      <c r="H46" s="763">
        <f t="shared" si="5"/>
        <v>29368.578788123781</v>
      </c>
      <c r="I46" s="763">
        <f t="shared" si="5"/>
        <v>5318.2805800260558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34779.356499531976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1822.5148170397122</v>
      </c>
      <c r="D48" s="718">
        <f ca="1">+landbouw!C12</f>
        <v>0</v>
      </c>
      <c r="E48" s="718">
        <f>+landbouw!D12</f>
        <v>218.91154665600001</v>
      </c>
      <c r="F48" s="718">
        <f>+landbouw!E12</f>
        <v>56.620176299405216</v>
      </c>
      <c r="G48" s="718">
        <f>+landbouw!F12</f>
        <v>9440.1729337482011</v>
      </c>
      <c r="H48" s="718">
        <f>+landbouw!G12</f>
        <v>0</v>
      </c>
      <c r="I48" s="718">
        <f>+landbouw!H12</f>
        <v>0</v>
      </c>
      <c r="J48" s="718">
        <f>+landbouw!I12</f>
        <v>0</v>
      </c>
      <c r="K48" s="718">
        <f>+landbouw!J12</f>
        <v>492.96203452641657</v>
      </c>
      <c r="L48" s="718">
        <f>+landbouw!K12</f>
        <v>0</v>
      </c>
      <c r="M48" s="718">
        <f>+landbouw!L12</f>
        <v>0</v>
      </c>
      <c r="N48" s="718">
        <f>+landbouw!M12</f>
        <v>0</v>
      </c>
      <c r="O48" s="718">
        <f>+landbouw!N12</f>
        <v>0</v>
      </c>
      <c r="P48" s="718">
        <f>+landbouw!O12</f>
        <v>0</v>
      </c>
      <c r="Q48" s="719">
        <f>+landbouw!P12</f>
        <v>0</v>
      </c>
      <c r="R48" s="761">
        <f ca="1">SUM(C48:Q48)</f>
        <v>12031.181508269736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16694.417339951691</v>
      </c>
      <c r="D53" s="773">
        <f t="shared" ref="D53:Q53" ca="1" si="6">D41+D46+D48</f>
        <v>0</v>
      </c>
      <c r="E53" s="773">
        <f t="shared" ca="1" si="6"/>
        <v>17625.681448768697</v>
      </c>
      <c r="F53" s="773">
        <f t="shared" si="6"/>
        <v>3405.041434381701</v>
      </c>
      <c r="G53" s="773">
        <f t="shared" ca="1" si="6"/>
        <v>17234.211229587017</v>
      </c>
      <c r="H53" s="773">
        <f t="shared" si="6"/>
        <v>29368.578788123781</v>
      </c>
      <c r="I53" s="773">
        <f t="shared" si="6"/>
        <v>5318.2805800260558</v>
      </c>
      <c r="J53" s="773">
        <f t="shared" si="6"/>
        <v>0</v>
      </c>
      <c r="K53" s="773">
        <f t="shared" si="6"/>
        <v>1647.9118132177059</v>
      </c>
      <c r="L53" s="773">
        <f t="shared" si="6"/>
        <v>0</v>
      </c>
      <c r="M53" s="773">
        <f t="shared" ca="1" si="6"/>
        <v>0</v>
      </c>
      <c r="N53" s="773">
        <f t="shared" si="6"/>
        <v>0</v>
      </c>
      <c r="O53" s="773">
        <f t="shared" ca="1" si="6"/>
        <v>0</v>
      </c>
      <c r="P53" s="773">
        <f>P41+P46+P48</f>
        <v>0</v>
      </c>
      <c r="Q53" s="774">
        <f t="shared" si="6"/>
        <v>0</v>
      </c>
      <c r="R53" s="775">
        <f ca="1">R41+R46+R48</f>
        <v>91294.122634056665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0.18841366099537499</v>
      </c>
      <c r="D55" s="836">
        <f t="shared" ca="1" si="7"/>
        <v>0</v>
      </c>
      <c r="E55" s="836">
        <f t="shared" ca="1" si="7"/>
        <v>0.20199999999999999</v>
      </c>
      <c r="F55" s="836">
        <f t="shared" si="7"/>
        <v>0.22699999999999998</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2821.9842801277414</v>
      </c>
      <c r="C64" s="795">
        <f>'lokale energieproductie'!B4</f>
        <v>2821.9842801277414</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8354.1479609372145</v>
      </c>
      <c r="C66" s="795">
        <f>'lokale energieproductie'!B6</f>
        <v>8354.1479609372145</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187.64999999999998</v>
      </c>
      <c r="C67" s="794">
        <f>B67*IFERROR(SUM(J67:L67)/SUM(D67:M67),0)</f>
        <v>187.64999999999998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220.76470588235293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1701</v>
      </c>
      <c r="C68" s="794">
        <f>B68*IFERROR(SUM(J68:L68)/SUM(D68:M68),0)</f>
        <v>1701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4860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13064.782241064955</v>
      </c>
      <c r="C69" s="803">
        <f>SUM(C64:C68)</f>
        <v>13064.782241064955</v>
      </c>
      <c r="D69" s="804">
        <f t="shared" ref="D69:M69" si="8">SUM(D67:D68)</f>
        <v>0</v>
      </c>
      <c r="E69" s="804">
        <f t="shared" si="8"/>
        <v>0</v>
      </c>
      <c r="F69" s="804">
        <f t="shared" si="8"/>
        <v>0</v>
      </c>
      <c r="G69" s="804">
        <f t="shared" si="8"/>
        <v>0</v>
      </c>
      <c r="H69" s="804">
        <f t="shared" si="8"/>
        <v>0</v>
      </c>
      <c r="I69" s="804">
        <f t="shared" si="8"/>
        <v>0</v>
      </c>
      <c r="J69" s="804">
        <f t="shared" si="8"/>
        <v>0</v>
      </c>
      <c r="K69" s="804">
        <f t="shared" si="8"/>
        <v>5080.7647058823532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268.07142857142856</v>
      </c>
      <c r="C78" s="817">
        <f>B78*IFERROR(SUM(I78:L78)/SUM(D78:M78),0)</f>
        <v>268.07142857142856</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315.37815126050418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268.07142857142856</v>
      </c>
      <c r="C81" s="803">
        <f>SUM(C78:C80)</f>
        <v>268.07142857142856</v>
      </c>
      <c r="D81" s="803">
        <f t="shared" ref="D81:P81" si="9">SUM(D78:D80)</f>
        <v>0</v>
      </c>
      <c r="E81" s="803">
        <f t="shared" si="9"/>
        <v>0</v>
      </c>
      <c r="F81" s="803">
        <f t="shared" si="9"/>
        <v>0</v>
      </c>
      <c r="G81" s="803">
        <f t="shared" si="9"/>
        <v>0</v>
      </c>
      <c r="H81" s="803">
        <f t="shared" si="9"/>
        <v>0</v>
      </c>
      <c r="I81" s="803">
        <f t="shared" si="9"/>
        <v>0</v>
      </c>
      <c r="J81" s="803">
        <f t="shared" si="9"/>
        <v>0</v>
      </c>
      <c r="K81" s="803">
        <f t="shared" si="9"/>
        <v>315.37815126050418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28528.59010678075</v>
      </c>
      <c r="C4" s="478">
        <f>huishoudens!C8</f>
        <v>0</v>
      </c>
      <c r="D4" s="478">
        <f>huishoudens!D8</f>
        <v>55471.693002</v>
      </c>
      <c r="E4" s="478">
        <f>huishoudens!E8</f>
        <v>10881.415871958226</v>
      </c>
      <c r="F4" s="478">
        <f>huishoudens!F8</f>
        <v>9987.5858429202453</v>
      </c>
      <c r="G4" s="478">
        <f>huishoudens!G8</f>
        <v>0</v>
      </c>
      <c r="H4" s="478">
        <f>huishoudens!H8</f>
        <v>0</v>
      </c>
      <c r="I4" s="478">
        <f>huishoudens!I8</f>
        <v>0</v>
      </c>
      <c r="J4" s="478">
        <f>huishoudens!J8</f>
        <v>3240.9445386605507</v>
      </c>
      <c r="K4" s="478">
        <f>huishoudens!K8</f>
        <v>0</v>
      </c>
      <c r="L4" s="478">
        <f>huishoudens!L8</f>
        <v>0</v>
      </c>
      <c r="M4" s="478">
        <f>huishoudens!M8</f>
        <v>0</v>
      </c>
      <c r="N4" s="478">
        <f>huishoudens!N8</f>
        <v>26406.182464558675</v>
      </c>
      <c r="O4" s="478">
        <f>huishoudens!O8</f>
        <v>304.85000000000002</v>
      </c>
      <c r="P4" s="479">
        <f>huishoudens!P8</f>
        <v>648.26666666666665</v>
      </c>
      <c r="Q4" s="480">
        <f>SUM(B4:P4)</f>
        <v>135469.52849354511</v>
      </c>
    </row>
    <row r="5" spans="1:17">
      <c r="A5" s="477" t="s">
        <v>156</v>
      </c>
      <c r="B5" s="478">
        <f ca="1">tertiair!B16</f>
        <v>29356.899000000001</v>
      </c>
      <c r="C5" s="478">
        <f ca="1">tertiair!C16</f>
        <v>0</v>
      </c>
      <c r="D5" s="478">
        <f ca="1">tertiair!D16</f>
        <v>20673.344802</v>
      </c>
      <c r="E5" s="478">
        <f>tertiair!E16</f>
        <v>479.66002805370942</v>
      </c>
      <c r="F5" s="478">
        <f ca="1">tertiair!F16</f>
        <v>7132.8959850938854</v>
      </c>
      <c r="G5" s="478">
        <f>tertiair!G16</f>
        <v>0</v>
      </c>
      <c r="H5" s="478">
        <f>tertiair!H16</f>
        <v>0</v>
      </c>
      <c r="I5" s="478">
        <f>tertiair!I16</f>
        <v>0</v>
      </c>
      <c r="J5" s="478">
        <f>tertiair!J16</f>
        <v>0</v>
      </c>
      <c r="K5" s="478">
        <f>tertiair!K16</f>
        <v>0</v>
      </c>
      <c r="L5" s="478">
        <f ca="1">tertiair!L16</f>
        <v>0</v>
      </c>
      <c r="M5" s="478">
        <f>tertiair!M16</f>
        <v>0</v>
      </c>
      <c r="N5" s="478">
        <f ca="1">tertiair!N16</f>
        <v>7779.8059803883361</v>
      </c>
      <c r="O5" s="478">
        <f>tertiair!O16</f>
        <v>3.1266666666666669</v>
      </c>
      <c r="P5" s="479">
        <f>tertiair!P16</f>
        <v>19.066666666666666</v>
      </c>
      <c r="Q5" s="477">
        <f t="shared" ref="Q5:Q13" ca="1" si="0">SUM(B5:P5)</f>
        <v>65444.799128869257</v>
      </c>
    </row>
    <row r="6" spans="1:17">
      <c r="A6" s="477" t="s">
        <v>194</v>
      </c>
      <c r="B6" s="478">
        <f>'openbare verlichting'!B8</f>
        <v>1177.4780000000001</v>
      </c>
      <c r="C6" s="478"/>
      <c r="D6" s="478"/>
      <c r="E6" s="478"/>
      <c r="F6" s="478"/>
      <c r="G6" s="478"/>
      <c r="H6" s="478"/>
      <c r="I6" s="478"/>
      <c r="J6" s="478"/>
      <c r="K6" s="478"/>
      <c r="L6" s="478"/>
      <c r="M6" s="478"/>
      <c r="N6" s="478"/>
      <c r="O6" s="478"/>
      <c r="P6" s="479"/>
      <c r="Q6" s="477">
        <f t="shared" si="0"/>
        <v>1177.4780000000001</v>
      </c>
    </row>
    <row r="7" spans="1:17">
      <c r="A7" s="477" t="s">
        <v>112</v>
      </c>
      <c r="B7" s="478">
        <f>landbouw!B8</f>
        <v>9672.9441347909997</v>
      </c>
      <c r="C7" s="478">
        <f>landbouw!C8</f>
        <v>268.07142857142856</v>
      </c>
      <c r="D7" s="478">
        <f>landbouw!D8</f>
        <v>1083.7205280000001</v>
      </c>
      <c r="E7" s="478">
        <f>landbouw!E8</f>
        <v>249.42808942469256</v>
      </c>
      <c r="F7" s="478">
        <f>landbouw!F8</f>
        <v>35356.452935386522</v>
      </c>
      <c r="G7" s="478">
        <f>landbouw!G8</f>
        <v>0</v>
      </c>
      <c r="H7" s="478">
        <f>landbouw!H8</f>
        <v>0</v>
      </c>
      <c r="I7" s="478">
        <f>landbouw!I8</f>
        <v>0</v>
      </c>
      <c r="J7" s="478">
        <f>landbouw!J8</f>
        <v>1392.5481201311204</v>
      </c>
      <c r="K7" s="478">
        <f>landbouw!K8</f>
        <v>0</v>
      </c>
      <c r="L7" s="478">
        <f>landbouw!L8</f>
        <v>0</v>
      </c>
      <c r="M7" s="478">
        <f>landbouw!M8</f>
        <v>0</v>
      </c>
      <c r="N7" s="478">
        <f>landbouw!N8</f>
        <v>0</v>
      </c>
      <c r="O7" s="478">
        <f>landbouw!O8</f>
        <v>0</v>
      </c>
      <c r="P7" s="479">
        <f>landbouw!P8</f>
        <v>0</v>
      </c>
      <c r="Q7" s="477">
        <f t="shared" si="0"/>
        <v>48023.165236304761</v>
      </c>
    </row>
    <row r="8" spans="1:17">
      <c r="A8" s="477" t="s">
        <v>638</v>
      </c>
      <c r="B8" s="478">
        <f>industrie!B18</f>
        <v>19833.330000000002</v>
      </c>
      <c r="C8" s="478">
        <f>industrie!C18</f>
        <v>0</v>
      </c>
      <c r="D8" s="478">
        <f>industrie!D18</f>
        <v>9947.6763319999991</v>
      </c>
      <c r="E8" s="478">
        <f>industrie!E18</f>
        <v>3082.660308734607</v>
      </c>
      <c r="F8" s="478">
        <f>industrie!F18</f>
        <v>12070.67283804884</v>
      </c>
      <c r="G8" s="478">
        <f>industrie!G18</f>
        <v>0</v>
      </c>
      <c r="H8" s="478">
        <f>industrie!H18</f>
        <v>0</v>
      </c>
      <c r="I8" s="478">
        <f>industrie!I18</f>
        <v>0</v>
      </c>
      <c r="J8" s="478">
        <f>industrie!J18</f>
        <v>21.625457642526722</v>
      </c>
      <c r="K8" s="478">
        <f>industrie!K18</f>
        <v>0</v>
      </c>
      <c r="L8" s="478">
        <f>industrie!L18</f>
        <v>0</v>
      </c>
      <c r="M8" s="478">
        <f>industrie!M18</f>
        <v>0</v>
      </c>
      <c r="N8" s="478">
        <f>industrie!N18</f>
        <v>6133.7579582769195</v>
      </c>
      <c r="O8" s="478">
        <f>industrie!O18</f>
        <v>0</v>
      </c>
      <c r="P8" s="479">
        <f>industrie!P18</f>
        <v>0</v>
      </c>
      <c r="Q8" s="477">
        <f t="shared" si="0"/>
        <v>51089.722894702893</v>
      </c>
    </row>
    <row r="9" spans="1:17" s="483" customFormat="1">
      <c r="A9" s="481" t="s">
        <v>564</v>
      </c>
      <c r="B9" s="482">
        <f>transport!B14</f>
        <v>35.890954025734302</v>
      </c>
      <c r="C9" s="482"/>
      <c r="D9" s="482">
        <f>transport!D14</f>
        <v>79.414092280679355</v>
      </c>
      <c r="E9" s="482">
        <f>transport!E14</f>
        <v>307.01823214462985</v>
      </c>
      <c r="F9" s="482"/>
      <c r="G9" s="482">
        <f>transport!G14</f>
        <v>108066.32584459748</v>
      </c>
      <c r="H9" s="482">
        <f>transport!H14</f>
        <v>21358.556546289379</v>
      </c>
      <c r="I9" s="482"/>
      <c r="J9" s="482"/>
      <c r="K9" s="482"/>
      <c r="L9" s="482"/>
      <c r="M9" s="482">
        <f>transport!M14</f>
        <v>4044.5695206823534</v>
      </c>
      <c r="N9" s="482"/>
      <c r="O9" s="482"/>
      <c r="P9" s="482"/>
      <c r="Q9" s="481">
        <f>SUM(B9:P9)</f>
        <v>133891.77519002027</v>
      </c>
    </row>
    <row r="10" spans="1:17">
      <c r="A10" s="477" t="s">
        <v>554</v>
      </c>
      <c r="B10" s="478">
        <f>transport!B54</f>
        <v>0</v>
      </c>
      <c r="C10" s="478"/>
      <c r="D10" s="478">
        <f>transport!D54</f>
        <v>0</v>
      </c>
      <c r="E10" s="478"/>
      <c r="F10" s="478"/>
      <c r="G10" s="478">
        <f>transport!G54</f>
        <v>1928.3512644803482</v>
      </c>
      <c r="H10" s="478"/>
      <c r="I10" s="478"/>
      <c r="J10" s="478"/>
      <c r="K10" s="478"/>
      <c r="L10" s="478"/>
      <c r="M10" s="478">
        <f>transport!M54</f>
        <v>59.81314215127189</v>
      </c>
      <c r="N10" s="478"/>
      <c r="O10" s="478"/>
      <c r="P10" s="479"/>
      <c r="Q10" s="477">
        <f t="shared" si="0"/>
        <v>1988.1644066316201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88605.132195597485</v>
      </c>
      <c r="C14" s="488">
        <f t="shared" ref="C14:Q14" ca="1" si="1">SUM(C4:C13)</f>
        <v>268.07142857142856</v>
      </c>
      <c r="D14" s="488">
        <f t="shared" ca="1" si="1"/>
        <v>87255.848756280684</v>
      </c>
      <c r="E14" s="488">
        <f t="shared" si="1"/>
        <v>15000.182530315866</v>
      </c>
      <c r="F14" s="488">
        <f t="shared" ca="1" si="1"/>
        <v>64547.607601449497</v>
      </c>
      <c r="G14" s="488">
        <f t="shared" si="1"/>
        <v>109994.67710907782</v>
      </c>
      <c r="H14" s="488">
        <f t="shared" si="1"/>
        <v>21358.556546289379</v>
      </c>
      <c r="I14" s="488">
        <f t="shared" si="1"/>
        <v>0</v>
      </c>
      <c r="J14" s="488">
        <f t="shared" si="1"/>
        <v>4655.118116434197</v>
      </c>
      <c r="K14" s="488">
        <f t="shared" si="1"/>
        <v>0</v>
      </c>
      <c r="L14" s="488">
        <f t="shared" ca="1" si="1"/>
        <v>0</v>
      </c>
      <c r="M14" s="488">
        <f t="shared" si="1"/>
        <v>4104.3826628336255</v>
      </c>
      <c r="N14" s="488">
        <f t="shared" ca="1" si="1"/>
        <v>40319.74640322393</v>
      </c>
      <c r="O14" s="488">
        <f t="shared" si="1"/>
        <v>307.97666666666669</v>
      </c>
      <c r="P14" s="489">
        <f t="shared" si="1"/>
        <v>667.33333333333337</v>
      </c>
      <c r="Q14" s="489">
        <f t="shared" ca="1" si="1"/>
        <v>437084.63335007388</v>
      </c>
    </row>
    <row r="16" spans="1:17">
      <c r="A16" s="491" t="s">
        <v>559</v>
      </c>
      <c r="B16" s="841">
        <f ca="1">huishoudens!B10</f>
        <v>0.18841366099537499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5375.1761050549967</v>
      </c>
      <c r="C21" s="478">
        <f t="shared" ref="C21:C28" ca="1" si="3">C4*$C$16</f>
        <v>0</v>
      </c>
      <c r="D21" s="478">
        <f t="shared" ref="D21:D30" si="4">D4*$D$16</f>
        <v>11205.281986404001</v>
      </c>
      <c r="E21" s="478">
        <f t="shared" ref="E21:E30" si="5">E4*$E$16</f>
        <v>2470.0814029345174</v>
      </c>
      <c r="F21" s="478">
        <f t="shared" ref="F21:F28" si="6">F4*$F$16</f>
        <v>2666.6854200597058</v>
      </c>
      <c r="G21" s="478">
        <f t="shared" ref="G21:G30" si="7">G4*$G$16</f>
        <v>0</v>
      </c>
      <c r="H21" s="478">
        <f t="shared" ref="H21:H30" si="8">H4*$H$16</f>
        <v>0</v>
      </c>
      <c r="I21" s="478">
        <f t="shared" ref="I21:I28" si="9">I4*$I$16</f>
        <v>0</v>
      </c>
      <c r="J21" s="478">
        <f t="shared" ref="J21:J28" si="10">J4*$J$16</f>
        <v>1147.2943666858348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22864.519281139052</v>
      </c>
    </row>
    <row r="22" spans="1:17">
      <c r="A22" s="477" t="s">
        <v>156</v>
      </c>
      <c r="B22" s="478">
        <f t="shared" ca="1" si="2"/>
        <v>5531.2408160614632</v>
      </c>
      <c r="C22" s="478">
        <f t="shared" ca="1" si="3"/>
        <v>0</v>
      </c>
      <c r="D22" s="478">
        <f t="shared" ca="1" si="4"/>
        <v>4176.0156500040002</v>
      </c>
      <c r="E22" s="478">
        <f t="shared" si="5"/>
        <v>108.88282636819204</v>
      </c>
      <c r="F22" s="478">
        <f t="shared" ca="1" si="6"/>
        <v>1904.4832280200676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11720.622520453724</v>
      </c>
    </row>
    <row r="23" spans="1:17">
      <c r="A23" s="477" t="s">
        <v>194</v>
      </c>
      <c r="B23" s="478">
        <f t="shared" ca="1" si="2"/>
        <v>221.85294072151217</v>
      </c>
      <c r="C23" s="478"/>
      <c r="D23" s="478"/>
      <c r="E23" s="478"/>
      <c r="F23" s="478"/>
      <c r="G23" s="478"/>
      <c r="H23" s="478"/>
      <c r="I23" s="478"/>
      <c r="J23" s="478"/>
      <c r="K23" s="478"/>
      <c r="L23" s="478"/>
      <c r="M23" s="478"/>
      <c r="N23" s="478"/>
      <c r="O23" s="478"/>
      <c r="P23" s="479"/>
      <c r="Q23" s="477">
        <f t="shared" ca="1" si="17"/>
        <v>221.85294072151217</v>
      </c>
    </row>
    <row r="24" spans="1:17">
      <c r="A24" s="477" t="s">
        <v>112</v>
      </c>
      <c r="B24" s="478">
        <f t="shared" ca="1" si="2"/>
        <v>1822.5148170397122</v>
      </c>
      <c r="C24" s="478">
        <f t="shared" ca="1" si="3"/>
        <v>0</v>
      </c>
      <c r="D24" s="478">
        <f t="shared" si="4"/>
        <v>218.91154665600001</v>
      </c>
      <c r="E24" s="478">
        <f t="shared" si="5"/>
        <v>56.620176299405216</v>
      </c>
      <c r="F24" s="478">
        <f t="shared" si="6"/>
        <v>9440.1729337482011</v>
      </c>
      <c r="G24" s="478">
        <f t="shared" si="7"/>
        <v>0</v>
      </c>
      <c r="H24" s="478">
        <f t="shared" si="8"/>
        <v>0</v>
      </c>
      <c r="I24" s="478">
        <f t="shared" si="9"/>
        <v>0</v>
      </c>
      <c r="J24" s="478">
        <f t="shared" si="10"/>
        <v>492.96203452641657</v>
      </c>
      <c r="K24" s="478">
        <f t="shared" si="11"/>
        <v>0</v>
      </c>
      <c r="L24" s="478">
        <f t="shared" si="12"/>
        <v>0</v>
      </c>
      <c r="M24" s="478">
        <f t="shared" si="13"/>
        <v>0</v>
      </c>
      <c r="N24" s="478">
        <f t="shared" si="14"/>
        <v>0</v>
      </c>
      <c r="O24" s="478">
        <f t="shared" si="15"/>
        <v>0</v>
      </c>
      <c r="P24" s="479">
        <f t="shared" si="16"/>
        <v>0</v>
      </c>
      <c r="Q24" s="477">
        <f t="shared" ca="1" si="17"/>
        <v>12031.181508269736</v>
      </c>
    </row>
    <row r="25" spans="1:17">
      <c r="A25" s="477" t="s">
        <v>638</v>
      </c>
      <c r="B25" s="478">
        <f t="shared" ca="1" si="2"/>
        <v>3736.8703150294009</v>
      </c>
      <c r="C25" s="478">
        <f t="shared" ca="1" si="3"/>
        <v>0</v>
      </c>
      <c r="D25" s="478">
        <f t="shared" si="4"/>
        <v>2009.430619064</v>
      </c>
      <c r="E25" s="478">
        <f t="shared" si="5"/>
        <v>699.76389008275578</v>
      </c>
      <c r="F25" s="478">
        <f t="shared" si="6"/>
        <v>3222.8696477590406</v>
      </c>
      <c r="G25" s="478">
        <f t="shared" si="7"/>
        <v>0</v>
      </c>
      <c r="H25" s="478">
        <f t="shared" si="8"/>
        <v>0</v>
      </c>
      <c r="I25" s="478">
        <f t="shared" si="9"/>
        <v>0</v>
      </c>
      <c r="J25" s="478">
        <f t="shared" si="10"/>
        <v>7.6554120054544592</v>
      </c>
      <c r="K25" s="478">
        <f t="shared" si="11"/>
        <v>0</v>
      </c>
      <c r="L25" s="478">
        <f t="shared" si="12"/>
        <v>0</v>
      </c>
      <c r="M25" s="478">
        <f t="shared" si="13"/>
        <v>0</v>
      </c>
      <c r="N25" s="478">
        <f t="shared" si="14"/>
        <v>0</v>
      </c>
      <c r="O25" s="478">
        <f t="shared" si="15"/>
        <v>0</v>
      </c>
      <c r="P25" s="479">
        <f t="shared" si="16"/>
        <v>0</v>
      </c>
      <c r="Q25" s="477">
        <f t="shared" ca="1" si="17"/>
        <v>9676.5898839406527</v>
      </c>
    </row>
    <row r="26" spans="1:17" s="483" customFormat="1">
      <c r="A26" s="481" t="s">
        <v>564</v>
      </c>
      <c r="B26" s="835">
        <f t="shared" ca="1" si="2"/>
        <v>6.7623460446052919</v>
      </c>
      <c r="C26" s="482"/>
      <c r="D26" s="482">
        <f t="shared" si="4"/>
        <v>16.04164664069723</v>
      </c>
      <c r="E26" s="482">
        <f t="shared" si="5"/>
        <v>69.693138696830971</v>
      </c>
      <c r="F26" s="482"/>
      <c r="G26" s="482">
        <f t="shared" si="7"/>
        <v>28853.70900050753</v>
      </c>
      <c r="H26" s="482">
        <f t="shared" si="8"/>
        <v>5318.2805800260558</v>
      </c>
      <c r="I26" s="482"/>
      <c r="J26" s="482"/>
      <c r="K26" s="482"/>
      <c r="L26" s="482"/>
      <c r="M26" s="482">
        <f t="shared" si="13"/>
        <v>0</v>
      </c>
      <c r="N26" s="482"/>
      <c r="O26" s="482"/>
      <c r="P26" s="493"/>
      <c r="Q26" s="481">
        <f t="shared" ca="1" si="17"/>
        <v>34264.486711915721</v>
      </c>
    </row>
    <row r="27" spans="1:17">
      <c r="A27" s="477" t="s">
        <v>554</v>
      </c>
      <c r="B27" s="478">
        <f t="shared" ca="1" si="2"/>
        <v>0</v>
      </c>
      <c r="C27" s="478"/>
      <c r="D27" s="482">
        <f t="shared" si="4"/>
        <v>0</v>
      </c>
      <c r="E27" s="478"/>
      <c r="F27" s="478"/>
      <c r="G27" s="478">
        <f t="shared" si="7"/>
        <v>514.86978761625301</v>
      </c>
      <c r="H27" s="478"/>
      <c r="I27" s="478"/>
      <c r="J27" s="478"/>
      <c r="K27" s="478"/>
      <c r="L27" s="478"/>
      <c r="M27" s="478">
        <f t="shared" si="13"/>
        <v>0</v>
      </c>
      <c r="N27" s="478"/>
      <c r="O27" s="478"/>
      <c r="P27" s="479"/>
      <c r="Q27" s="477">
        <f t="shared" ca="1" si="17"/>
        <v>514.86978761625301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16694.417339951688</v>
      </c>
      <c r="C31" s="488">
        <f t="shared" ca="1" si="18"/>
        <v>0</v>
      </c>
      <c r="D31" s="488">
        <f t="shared" ca="1" si="18"/>
        <v>17625.681448768701</v>
      </c>
      <c r="E31" s="488">
        <f t="shared" si="18"/>
        <v>3405.041434381701</v>
      </c>
      <c r="F31" s="488">
        <f t="shared" ca="1" si="18"/>
        <v>17234.211229587017</v>
      </c>
      <c r="G31" s="488">
        <f t="shared" si="18"/>
        <v>29368.578788123781</v>
      </c>
      <c r="H31" s="488">
        <f t="shared" si="18"/>
        <v>5318.2805800260558</v>
      </c>
      <c r="I31" s="488">
        <f t="shared" si="18"/>
        <v>0</v>
      </c>
      <c r="J31" s="488">
        <f t="shared" si="18"/>
        <v>1647.9118132177059</v>
      </c>
      <c r="K31" s="488">
        <f t="shared" si="18"/>
        <v>0</v>
      </c>
      <c r="L31" s="488">
        <f t="shared" ca="1" si="18"/>
        <v>0</v>
      </c>
      <c r="M31" s="488">
        <f t="shared" si="18"/>
        <v>0</v>
      </c>
      <c r="N31" s="488">
        <f t="shared" ca="1" si="18"/>
        <v>0</v>
      </c>
      <c r="O31" s="488">
        <f t="shared" si="18"/>
        <v>0</v>
      </c>
      <c r="P31" s="489">
        <f t="shared" si="18"/>
        <v>0</v>
      </c>
      <c r="Q31" s="489">
        <f t="shared" ca="1" si="18"/>
        <v>91294.122634056635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0.18841366099537499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0.18841366099537499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0.18841366099537499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2019-01-01T21:25:56Z</dcterms:modified>
</cp:coreProperties>
</file>