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B24" i="44" l="1"/>
  <c r="B23"/>
  <c r="A31" i="23" l="1"/>
  <c r="A32"/>
  <c r="A33"/>
  <c r="B4" i="21" l="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T88"/>
  <c r="S88"/>
  <c r="E8" s="1"/>
  <c r="F68" i="14" s="1"/>
  <c r="R88" i="18"/>
  <c r="Q88"/>
  <c r="P88"/>
  <c r="C8" s="1"/>
  <c r="D68" i="14" s="1"/>
  <c r="O88" i="18"/>
  <c r="N88"/>
  <c r="B8" s="1"/>
  <c r="M88"/>
  <c r="W60"/>
  <c r="V60"/>
  <c r="U60"/>
  <c r="T60"/>
  <c r="L6" i="17" s="1"/>
  <c r="L5" s="1"/>
  <c r="S60" i="18"/>
  <c r="F6" i="17" s="1"/>
  <c r="R60" i="18"/>
  <c r="Q60"/>
  <c r="P60"/>
  <c r="D6" i="17" s="1"/>
  <c r="O60" i="18"/>
  <c r="N60"/>
  <c r="M60"/>
  <c r="W59"/>
  <c r="V59"/>
  <c r="U59"/>
  <c r="T59"/>
  <c r="S59"/>
  <c r="R59"/>
  <c r="Q59"/>
  <c r="P59"/>
  <c r="O59"/>
  <c r="C13" i="15" s="1"/>
  <c r="N59" i="18"/>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E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L16" i="16" l="1"/>
  <c r="L18" s="1"/>
  <c r="M13" i="14" s="1"/>
  <c r="D8" i="17"/>
  <c r="N16" i="16"/>
  <c r="B8" i="9"/>
  <c r="B6" i="48" s="1"/>
  <c r="Q6" s="1"/>
  <c r="C16" i="15"/>
  <c r="D10" i="14" s="1"/>
  <c r="I8" i="18"/>
  <c r="J68" i="14" s="1"/>
  <c r="I14" i="15"/>
  <c r="I16" s="1"/>
  <c r="J10" i="14" s="1"/>
  <c r="B13" i="16"/>
  <c r="C35"/>
  <c r="E9" i="14"/>
  <c r="D14" i="15"/>
  <c r="P18" i="16"/>
  <c r="Q13" i="14" s="1"/>
  <c r="N6" i="17"/>
  <c r="N5" s="1"/>
  <c r="J8"/>
  <c r="K22" i="14" s="1"/>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L12" i="13"/>
  <c r="M37" i="14" s="1"/>
  <c r="E8" i="16"/>
  <c r="B16" i="18"/>
  <c r="B78" i="14" s="1"/>
  <c r="F17"/>
  <c r="E13" i="48"/>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P24" i="48"/>
  <c r="E5" i="17"/>
  <c r="C8"/>
  <c r="G24" i="48"/>
  <c r="I24"/>
  <c r="G81" i="14"/>
  <c r="D79"/>
  <c r="H79"/>
  <c r="H81" s="1"/>
  <c r="L79"/>
  <c r="L81" s="1"/>
  <c r="F79"/>
  <c r="J79"/>
  <c r="E68"/>
  <c r="E69" s="1"/>
  <c r="I68"/>
  <c r="M68"/>
  <c r="M69" s="1"/>
  <c r="D19" i="18"/>
  <c r="L19"/>
  <c r="B68" i="14"/>
  <c r="G68"/>
  <c r="G69" s="1"/>
  <c r="E81"/>
  <c r="M81"/>
  <c r="F19" i="18"/>
  <c r="D11" i="14"/>
  <c r="C4" i="48"/>
  <c r="M17" i="18"/>
  <c r="M18"/>
  <c r="J7" i="48" l="1"/>
  <c r="J24" s="1"/>
  <c r="P22" i="16"/>
  <c r="Q39" i="14" s="1"/>
  <c r="P8" i="48"/>
  <c r="P25" s="1"/>
  <c r="J15" i="14"/>
  <c r="J23" s="1"/>
  <c r="E8" i="17"/>
  <c r="F22" i="14" s="1"/>
  <c r="O18" i="16"/>
  <c r="O22" s="1"/>
  <c r="P39" i="14" s="1"/>
  <c r="B34" i="13"/>
  <c r="H13" i="48"/>
  <c r="H30" s="1"/>
  <c r="H12" i="22"/>
  <c r="B35" i="13"/>
  <c r="B47" s="1"/>
  <c r="B36"/>
  <c r="D18" i="16"/>
  <c r="D22" s="1"/>
  <c r="E39" i="14" s="1"/>
  <c r="G31" i="20"/>
  <c r="H43" i="14" s="1"/>
  <c r="G12" i="22"/>
  <c r="D16" i="15"/>
  <c r="D20" s="1"/>
  <c r="N8" i="17"/>
  <c r="N12" s="1"/>
  <c r="O48" i="14" s="1"/>
  <c r="L8" i="17"/>
  <c r="L12" s="1"/>
  <c r="M48" i="14" s="1"/>
  <c r="M50" i="22"/>
  <c r="M54" s="1"/>
  <c r="M10" i="48" s="1"/>
  <c r="M27" s="1"/>
  <c r="G51" i="22"/>
  <c r="G50" s="1"/>
  <c r="G54" s="1"/>
  <c r="H18" i="14" s="1"/>
  <c r="P13"/>
  <c r="E22"/>
  <c r="O8" i="48"/>
  <c r="O25" s="1"/>
  <c r="B9"/>
  <c r="E100" i="18"/>
  <c r="E7" s="1"/>
  <c r="F67" i="14" s="1"/>
  <c r="F69" s="1"/>
  <c r="F7" i="48"/>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I7" s="1"/>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10"/>
  <c r="Q15" s="1"/>
  <c r="Q23" s="1"/>
  <c r="J5" i="15"/>
  <c r="F4" i="48"/>
  <c r="F21" s="1"/>
  <c r="B69" i="14"/>
  <c r="B4" i="6" s="1"/>
  <c r="L53" i="14"/>
  <c r="F5" i="15"/>
  <c r="F16" s="1"/>
  <c r="B5"/>
  <c r="B16" s="1"/>
  <c r="B5" i="16"/>
  <c r="B18" s="1"/>
  <c r="C13" i="14" s="1"/>
  <c r="N5" i="15"/>
  <c r="N16" s="1"/>
  <c r="F12" i="13"/>
  <c r="G37" i="14" s="1"/>
  <c r="P5" i="48"/>
  <c r="P22" s="1"/>
  <c r="P31" s="1"/>
  <c r="F13" i="16"/>
  <c r="E13"/>
  <c r="N13"/>
  <c r="J13"/>
  <c r="N12"/>
  <c r="J12"/>
  <c r="F12"/>
  <c r="E12"/>
  <c r="Q11" i="48"/>
  <c r="O5"/>
  <c r="R9" i="14"/>
  <c r="O28" i="48"/>
  <c r="H22"/>
  <c r="B46" i="13"/>
  <c r="E5" s="1"/>
  <c r="E8" s="1"/>
  <c r="E12" s="1"/>
  <c r="F37" i="14" s="1"/>
  <c r="K31" i="48"/>
  <c r="B48" i="13"/>
  <c r="C48" s="1"/>
  <c r="N5" s="1"/>
  <c r="N8" s="1"/>
  <c r="N4" i="48" s="1"/>
  <c r="N21" s="1"/>
  <c r="M25"/>
  <c r="M24"/>
  <c r="I31"/>
  <c r="C50" i="13"/>
  <c r="J5" s="1"/>
  <c r="J8" s="1"/>
  <c r="C5" i="48"/>
  <c r="Q41" i="14" l="1"/>
  <c r="Q53" s="1"/>
  <c r="Q55" s="1"/>
  <c r="H14" i="22"/>
  <c r="E12" i="17"/>
  <c r="F48" i="14" s="1"/>
  <c r="P41"/>
  <c r="P53" s="1"/>
  <c r="E7" i="48"/>
  <c r="E24" s="1"/>
  <c r="E13" i="14"/>
  <c r="N7" i="48"/>
  <c r="N24" s="1"/>
  <c r="D8"/>
  <c r="D25" s="1"/>
  <c r="E16" i="15"/>
  <c r="F10" i="14" s="1"/>
  <c r="J16" i="15"/>
  <c r="K10" i="14" s="1"/>
  <c r="O22"/>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
  <c r="J22" s="1"/>
  <c r="J20" i="15"/>
  <c r="K36" i="14" s="1"/>
  <c r="J55"/>
  <c r="L55"/>
  <c r="E36"/>
  <c r="E41" s="1"/>
  <c r="N20" i="15"/>
  <c r="O36" i="14" s="1"/>
  <c r="O10"/>
  <c r="L5" i="48"/>
  <c r="L22" s="1"/>
  <c r="M10" i="14"/>
  <c r="M15" s="1"/>
  <c r="F20" i="15"/>
  <c r="G36" i="14" s="1"/>
  <c r="G10"/>
  <c r="C10"/>
  <c r="B5" i="48"/>
  <c r="D23" i="14"/>
  <c r="B20" i="6" s="1"/>
  <c r="B22" s="1"/>
  <c r="N5" i="16"/>
  <c r="F5" i="48"/>
  <c r="F22" s="1"/>
  <c r="E5" i="16"/>
  <c r="J5"/>
  <c r="C35" i="13"/>
  <c r="F5" i="16"/>
  <c r="C36" i="13"/>
  <c r="O22" i="48"/>
  <c r="O31" s="1"/>
  <c r="N12" i="13"/>
  <c r="O37" i="14" s="1"/>
  <c r="O11"/>
  <c r="C38" i="13"/>
  <c r="C39"/>
  <c r="C32"/>
  <c r="C34"/>
  <c r="E4" i="48"/>
  <c r="E21" s="1"/>
  <c r="F11" i="14"/>
  <c r="J4" i="48"/>
  <c r="J12" i="13"/>
  <c r="K37" i="14" s="1"/>
  <c r="K11"/>
  <c r="N5" i="48"/>
  <c r="L20" i="15"/>
  <c r="D31" i="48" l="1"/>
  <c r="P55" i="14"/>
  <c r="E20" i="15"/>
  <c r="F36" i="14" s="1"/>
  <c r="L31" i="48"/>
  <c r="N20" i="14"/>
  <c r="N23" s="1"/>
  <c r="E5" i="48"/>
  <c r="E22" s="1"/>
  <c r="J9" i="18"/>
  <c r="M7"/>
  <c r="M9" s="1"/>
  <c r="M16"/>
  <c r="M19" s="1"/>
  <c r="J18" i="16"/>
  <c r="J22" s="1"/>
  <c r="K39" i="14" s="1"/>
  <c r="K41" s="1"/>
  <c r="K53" s="1"/>
  <c r="E18" i="16"/>
  <c r="E8" i="48" s="1"/>
  <c r="F18" i="16"/>
  <c r="G13" i="14" s="1"/>
  <c r="G15" s="1"/>
  <c r="G23" s="1"/>
  <c r="N18" i="16"/>
  <c r="N8" i="48" s="1"/>
  <c r="R22" i="14"/>
  <c r="Q7" i="48"/>
  <c r="N46" i="14"/>
  <c r="N53" s="1"/>
  <c r="G18" i="22"/>
  <c r="H45" i="14" s="1"/>
  <c r="H46" s="1"/>
  <c r="H53" s="1"/>
  <c r="I19" i="18"/>
  <c r="J19"/>
  <c r="K78" i="14"/>
  <c r="K81" s="1"/>
  <c r="I81"/>
  <c r="O78"/>
  <c r="O81" s="1"/>
  <c r="B17" i="6" s="1"/>
  <c r="E23" i="14"/>
  <c r="D14" i="48"/>
  <c r="B14"/>
  <c r="E22" i="16"/>
  <c r="F39" i="14" s="1"/>
  <c r="F41" s="1"/>
  <c r="F53" s="1"/>
  <c r="J69"/>
  <c r="C67"/>
  <c r="C69" s="1"/>
  <c r="H19"/>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F8" i="48"/>
  <c r="Q4"/>
  <c r="N22"/>
  <c r="R11" i="14"/>
  <c r="J21" i="48"/>
  <c r="R10" i="14"/>
  <c r="F22" i="16" l="1"/>
  <c r="G39" i="14" s="1"/>
  <c r="G41" s="1"/>
  <c r="N22" i="16"/>
  <c r="O39" i="14" s="1"/>
  <c r="O41" s="1"/>
  <c r="F13"/>
  <c r="F15" s="1"/>
  <c r="F23" s="1"/>
  <c r="F55" s="1"/>
  <c r="J8" i="48"/>
  <c r="J25" s="1"/>
  <c r="O13" i="14"/>
  <c r="O15" s="1"/>
  <c r="N55"/>
  <c r="Q5" i="48"/>
  <c r="N25"/>
  <c r="N31" s="1"/>
  <c r="N14"/>
  <c r="E25"/>
  <c r="E31" s="1"/>
  <c r="E14"/>
  <c r="K13" i="14"/>
  <c r="K15" s="1"/>
  <c r="K23" s="1"/>
  <c r="H55"/>
  <c r="E55"/>
  <c r="C78"/>
  <c r="C81" s="1"/>
  <c r="J14" i="48"/>
  <c r="J31"/>
  <c r="Q8"/>
  <c r="R19" i="14"/>
  <c r="R20" s="1"/>
  <c r="H14" i="48"/>
  <c r="G31"/>
  <c r="H26"/>
  <c r="H31" s="1"/>
  <c r="O53" i="14"/>
  <c r="G53"/>
  <c r="G55" s="1"/>
  <c r="O69" s="1"/>
  <c r="B9" i="6" s="1"/>
  <c r="B12" s="1"/>
  <c r="M53" i="14"/>
  <c r="M55" s="1"/>
  <c r="C12" i="13"/>
  <c r="D37" i="14" s="1"/>
  <c r="D41" s="1"/>
  <c r="C24" i="48"/>
  <c r="C28"/>
  <c r="C22"/>
  <c r="C25"/>
  <c r="C21"/>
  <c r="K55" i="14"/>
  <c r="R13"/>
  <c r="R15" s="1"/>
  <c r="F25" i="48"/>
  <c r="F31" s="1"/>
  <c r="F14"/>
  <c r="Q14" l="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<sst xmlns="http://schemas.openxmlformats.org/spreadsheetml/2006/main" count="2120" uniqueCount="862">
  <si>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</si>
  <si>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</si>
  <si>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</si>
  <si>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</si>
  <si>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</si>
  <si>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</si>
  <si>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</si>
  <si>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</si>
  <si>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</si>
  <si>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</si>
  <si>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</si>
  <si>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</si>
  <si>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</si>
  <si>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</si>
  <si>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</si>
  <si>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</si>
  <si>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</si>
  <si>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</si>
  <si>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</si>
  <si>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</si>
  <si>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</si>
  <si>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</si>
  <si>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</si>
  <si>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</si>
  <si>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</si>
  <si>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</si>
  <si>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</si>
  <si>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</si>
  <si>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</si>
  <si>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</si>
  <si>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</si>
  <si>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</si>
  <si>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</si>
  <si>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</si>
  <si>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</si>
  <si>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</si>
  <si>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</si>
  <si>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</si>
  <si>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</si>
  <si>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</si>
  <si>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</si>
  <si>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</si>
  <si>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</si>
  <si>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</si>
  <si>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</si>
  <si>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</si>
  <si>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</si>
  <si>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</si>
  <si>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</si>
  <si>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</si>
  <si>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</si>
  <si>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</si>
  <si>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</si>
  <si>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</si>
  <si>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</si>
  <si>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</si>
  <si>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</si>
  <si>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</si>
  <si>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</si>
  <si>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</si>
  <si>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</si>
  <si>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</si>
  <si>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</si>
  <si>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</si>
  <si>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</si>
  <si>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</si>
  <si>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</si>
  <si>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</si>
  <si>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</si>
  <si>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</si>
  <si>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</si>
  <si>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</si>
  <si>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</si>
  <si>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</si>
  <si>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</si>
  <si>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</si>
  <si>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</si>
  <si>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</si>
  <si>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</si>
  <si>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</si>
  <si>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</si>
  <si>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</si>
  <si>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</si>
  <si>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</si>
  <si>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</si>
  <si>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</si>
  <si>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</si>
  <si>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</si>
  <si>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</si>
  <si>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</si>
  <si>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</si>
  <si>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</si>
  <si>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</si>
  <si>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</si>
  <si>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</si>
  <si>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</si>
  <si>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</si>
  <si>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</si>
  <si>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</si>
  <si>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</si>
  <si>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</si>
  <si>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</si>
  <si>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</si>
  <si>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</si>
  <si>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</si>
  <si>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</si>
  <si>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</si>
  <si>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</si>
  <si>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</si>
  <si>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</si>
  <si>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</si>
  <si>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</si>
  <si>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</si>
  <si>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</si>
  <si>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</si>
  <si>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</si>
  <si>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</si>
  <si>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</si>
  <si>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</si>
  <si>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</si>
  <si>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</si>
  <si>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</si>
  <si>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</si>
  <si>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</si>
  <si>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</si>
  <si>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</si>
  <si>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</si>
  <si>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</si>
  <si>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</si>
  <si>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</si>
  <si>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</si>
  <si>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</si>
  <si>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</si>
  <si>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</si>
  <si>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</si>
  <si>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</si>
  <si>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</si>
  <si>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</si>
  <si>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</si>
  <si>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</si>
  <si>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</si>
  <si>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</si>
  <si>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</si>
  <si>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</si>
  <si>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</si>
  <si>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</si>
  <si>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</si>
  <si>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</si>
  <si>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</si>
  <si>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</si>
  <si>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</si>
  <si>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</si>
  <si>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</si>
  <si>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</si>
  <si>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</si>
  <si>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</si>
  <si>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</si>
  <si>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</si>
  <si>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</si>
  <si>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</si>
  <si>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</si>
  <si>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</si>
  <si>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</si>
  <si>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</si>
  <si>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</si>
  <si>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</si>
  <si>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</si>
  <si>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</si>
  <si>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</si>
  <si>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</si>
  <si>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</si>
  <si>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</si>
  <si>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</si>
  <si>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</si>
  <si>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</si>
  <si>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</si>
  <si>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</si>
  <si>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</si>
  <si>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</si>
  <si>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</si>
  <si>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</si>
  <si>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</si>
  <si>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</si>
  <si>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</si>
  <si>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</si>
  <si>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</si>
  <si>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</si>
  <si>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</si>
  <si>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</si>
  <si>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</si>
  <si>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</si>
  <si>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</si>
  <si>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</si>
  <si>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</si>
  <si>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</si>
  <si>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</si>
  <si>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</si>
  <si>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</si>
  <si>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</si>
  <si>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</si>
  <si>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</si>
  <si>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</si>
  <si>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</si>
  <si>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</si>
  <si>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</si>
  <si>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</si>
  <si>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</si>
  <si>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</si>
  <si>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</si>
  <si>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</si>
  <si>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</si>
  <si>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</si>
  <si>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</si>
  <si>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</si>
  <si>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</si>
  <si>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</si>
  <si>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</si>
  <si>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</si>
  <si>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</si>
  <si>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</si>
  <si>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</si>
  <si>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</si>
  <si>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</si>
  <si>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</si>
  <si>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</si>
  <si>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</si>
  <si>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</si>
  <si>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</si>
  <si>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</si>
  <si>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</si>
  <si>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</si>
  <si>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</si>
  <si>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</si>
  <si>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</si>
  <si>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</si>
  <si>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</si>
  <si>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</si>
  <si>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</si>
  <si>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</si>
  <si>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</si>
  <si>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</si>
  <si>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</si>
  <si>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</si>
  <si>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</si>
  <si>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</si>
  <si>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</si>
  <si>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</si>
  <si>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</si>
  <si>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</si>
  <si>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</si>
  <si>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</si>
  <si>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</si>
  <si>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</si>
  <si>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</si>
  <si>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</si>
  <si>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</si>
  <si>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</si>
  <si>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</si>
  <si>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</si>
  <si>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</si>
  <si>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</si>
  <si>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</si>
  <si>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</si>
  <si>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</si>
  <si>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</si>
  <si>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</si>
  <si>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</si>
  <si>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</si>
  <si>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</si>
  <si>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</si>
  <si>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</si>
  <si>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</si>
  <si>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</si>
  <si>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</si>
  <si>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</si>
  <si>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</si>
  <si>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</si>
  <si>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</si>
  <si>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</si>
  <si>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</si>
  <si>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</si>
  <si>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</si>
  <si>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</si>
  <si>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</si>
  <si>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</si>
  <si>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</si>
  <si>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</si>
  <si>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</si>
  <si>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</si>
  <si>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</si>
  <si>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</si>
  <si>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</si>
  <si>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</si>
  <si>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</si>
  <si>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</si>
  <si>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</si>
  <si>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</si>
  <si>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</si>
  <si>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</si>
  <si>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</si>
  <si>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</si>
  <si>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</si>
  <si>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</si>
  <si>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</si>
  <si>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</si>
  <si>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</si>
  <si>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</si>
  <si>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</si>
  <si>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</si>
  <si>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</si>
  <si>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</si>
  <si>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</si>
  <si>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</si>
  <si>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</si>
  <si>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</si>
  <si>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</si>
  <si>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</si>
  <si>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</si>
  <si>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</si>
  <si>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</si>
  <si>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</si>
  <si>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</si>
  <si>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</si>
  <si>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</si>
  <si>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</si>
  <si>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</si>
  <si>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</si>
  <si>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</si>
  <si>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</si>
  <si>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</si>
  <si>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</si>
  <si>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</si>
  <si>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</si>
  <si>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</si>
  <si>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</si>
  <si>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</si>
  <si>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</si>
  <si>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</si>
  <si>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</si>
  <si>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</si>
  <si>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</si>
  <si>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</si>
  <si>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</si>
  <si>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</si>
  <si>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</si>
  <si>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</si>
  <si>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</si>
  <si>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</si>
  <si>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</si>
  <si>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</si>
  <si>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</si>
  <si>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</si>
  <si>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</si>
  <si>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</si>
  <si>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</si>
  <si>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</si>
  <si>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</si>
  <si>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</si>
  <si>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</si>
  <si>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</si>
  <si>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</si>
  <si>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</si>
  <si>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</si>
  <si>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</si>
  <si>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</si>
  <si>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</si>
  <si>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</si>
  <si>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</si>
  <si>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</si>
  <si>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</si>
  <si>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</si>
  <si>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</si>
  <si>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</si>
  <si>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</si>
  <si>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</si>
  <si>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</si>
  <si>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</si>
  <si>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</si>
  <si>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</si>
  <si>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</si>
  <si>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</si>
  <si>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</si>
  <si>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</si>
  <si>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</si>
  <si>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</si>
  <si>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</si>
  <si>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</si>
  <si>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</si>
  <si>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</si>
  <si>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</si>
  <si>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</si>
  <si>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</si>
  <si>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</si>
  <si>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</si>
  <si>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</si>
  <si>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</si>
  <si>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</si>
  <si>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</si>
  <si>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</si>
  <si>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</si>
  <si>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</si>
  <si>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</si>
  <si>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</si>
  <si>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</si>
  <si>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</si>
  <si>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</si>
  <si>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</si>
  <si>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</si>
  <si>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</si>
  <si>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</si>
  <si>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</si>
  <si>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</si>
  <si>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</si>
  <si>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</si>
  <si>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</si>
  <si>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</si>
  <si>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</si>
  <si>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</si>
  <si>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</si>
  <si>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</si>
  <si>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</si>
  <si>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</si>
  <si>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</si>
  <si>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</si>
  <si>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</si>
  <si>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</si>
  <si>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</si>
  <si>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</si>
  <si>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</si>
  <si>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</si>
  <si>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</si>
  <si>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</si>
  <si>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</si>
  <si>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</si>
  <si>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</si>
  <si>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</si>
  <si>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</si>
  <si>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</si>
  <si>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</si>
  <si>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</si>
  <si>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</si>
  <si>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</si>
  <si>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</si>
  <si>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</si>
  <si>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</si>
  <si>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</si>
  <si>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</si>
  <si>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</si>
  <si>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</si>
  <si>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</si>
  <si>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</si>
  <si>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</si>
  <si>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</si>
  <si>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</si>
  <si>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</si>
  <si>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</si>
  <si>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</si>
  <si>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</si>
  <si>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</si>
  <si>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</si>
  <si>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</si>
  <si>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</si>
  <si>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</si>
  <si>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</si>
  <si>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</si>
  <si>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</si>
  <si>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</si>
  <si>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</si>
  <si>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</si>
  <si>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</si>
  <si>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</si>
  <si>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</si>
  <si>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</si>
  <si>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</si>
  <si>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</si>
  <si>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</si>
  <si>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</si>
  <si>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</si>
  <si>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</si>
  <si>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</si>
  <si>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</si>
  <si>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</si>
  <si>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</si>
  <si>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</si>
  <si>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</si>
  <si>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</si>
  <si>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</si>
  <si>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</si>
  <si>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</si>
  <si>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</si>
  <si>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</si>
  <si>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</si>
  <si>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</si>
  <si>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</si>
  <si>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</si>
  <si>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</si>
  <si>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</si>
  <si>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</si>
  <si>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</si>
  <si>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</si>
  <si>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</si>
  <si>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</si>
  <si>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</si>
  <si>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</si>
  <si>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</si>
  <si>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</si>
  <si>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</si>
  <si>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</si>
  <si>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</si>
  <si>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</si>
  <si>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</si>
  <si>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</si>
  <si>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</si>
  <si>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</si>
  <si>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</si>
  <si>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</si>
  <si>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</si>
  <si>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</si>
  <si>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</si>
  <si>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</si>
  <si>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</si>
  <si>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</si>
  <si>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</si>
  <si>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</si>
  <si>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</si>
  <si>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</si>
  <si>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</si>
  <si>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</si>
  <si>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</si>
  <si>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</si>
  <si>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</si>
  <si>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</si>
  <si>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</si>
  <si>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</si>
  <si>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</si>
  <si>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</si>
  <si>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</si>
  <si>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</si>
  <si>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</si>
  <si>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</si>
  <si>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</si>
  <si>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</si>
  <si>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</si>
  <si>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</si>
  <si>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</si>
  <si>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</si>
  <si>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</si>
  <si>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</si>
  <si>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</si>
  <si>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</si>
  <si>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</si>
  <si>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</si>
  <si>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</si>
  <si>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</si>
  <si>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</si>
  <si>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</si>
  <si>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</si>
  <si>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</si>
  <si>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</si>
  <si>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</si>
  <si>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</si>
  <si>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</si>
  <si>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</si>
  <si>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</si>
  <si>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</si>
  <si>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</si>
  <si>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</si>
  <si>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</si>
  <si>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</si>
  <si>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</si>
  <si>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</si>
  <si>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</si>
  <si>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</si>
  <si>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</si>
  <si>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</si>
  <si>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</si>
  <si>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</si>
  <si>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</si>
  <si>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</si>
  <si>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</si>
  <si>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</si>
  <si>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</si>
  <si>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</si>
  <si>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</si>
  <si>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</si>
  <si>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</si>
  <si>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</si>
  <si>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</si>
  <si>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</si>
  <si>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</si>
  <si>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</si>
  <si>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</si>
  <si>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</si>
  <si>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</si>
  <si>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</si>
  <si>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</si>
  <si>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</si>
  <si>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</si>
  <si>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</si>
  <si>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</si>
  <si>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</si>
  <si>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</si>
  <si>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</si>
  <si>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</si>
  <si>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</si>
  <si>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</si>
  <si>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</si>
  <si>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</si>
  <si>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</si>
  <si>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</si>
  <si>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</si>
  <si>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</si>
  <si>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</si>
  <si>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</si>
  <si>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</si>
  <si>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</si>
  <si>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</si>
  <si>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</si>
  <si>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</si>
  <si>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</si>
  <si>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</si>
  <si>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</si>
  <si>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</si>
  <si>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</si>
  <si>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</si>
  <si>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</si>
  <si>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</si>
  <si>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</si>
  <si>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</si>
  <si>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</si>
  <si>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</si>
  <si>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</si>
  <si>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</si>
  <si>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</si>
  <si>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</si>
  <si>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</si>
  <si>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</si>
  <si>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</si>
  <si>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</si>
  <si>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</si>
  <si>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</si>
  <si>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</si>
  <si>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</si>
  <si>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</si>
  <si>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</si>
  <si>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</si>
  <si>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</si>
  <si>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</si>
  <si>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</si>
  <si>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</si>
  <si>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</si>
  <si>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</si>
  <si>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</si>
  <si>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</si>
  <si>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</si>
  <si>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</si>
  <si>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</si>
  <si>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</si>
  <si>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</si>
  <si>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</si>
  <si>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</si>
  <si>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</si>
  <si>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</si>
  <si>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</si>
  <si>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</si>
  <si>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</si>
  <si>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</si>
  <si>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</si>
  <si>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</si>
  <si>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</si>
  <si>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</si>
  <si>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</si>
  <si>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</si>
  <si>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</si>
  <si>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</si>
  <si>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</si>
  <si>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</si>
  <si>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</si>
  <si>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</si>
  <si>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</si>
  <si>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</si>
  <si>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</si>
  <si>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</si>
  <si>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</si>
  <si>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</si>
  <si>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</si>
  <si>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</si>
  <si>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</si>
  <si>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</si>
  <si>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</si>
  <si>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</si>
  <si>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</si>
  <si>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</si>
  <si>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</si>
  <si>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</si>
  <si>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</si>
  <si>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</si>
  <si>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</si>
  <si>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</si>
  <si>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</si>
  <si>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</si>
  <si>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</si>
  <si>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</si>
  <si>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</si>
  <si>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</si>
  <si>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</si>
  <si>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</si>
  <si>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</si>
  <si>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</si>
  <si>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</si>
  <si>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</si>
  <si>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</si>
  <si>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</si>
  <si>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</si>
  <si>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</si>
  <si>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</si>
  <si>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</si>
  <si>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</si>
  <si>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</si>
  <si>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</si>
  <si>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</si>
  <si>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</si>
  <si>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</si>
  <si>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</si>
  <si>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</si>
  <si>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</si>
  <si>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</si>
  <si>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</si>
  <si>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</si>
  <si>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</si>
  <si>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</si>
  <si>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</si>
  <si>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</si>
  <si>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</si>
  <si>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</si>
  <si>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</si>
  <si>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</si>
  <si>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</si>
  <si>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</si>
  <si>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</si>
  <si>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</si>
  <si>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</si>
  <si>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</si>
  <si>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</si>
  <si>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</si>
  <si>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</si>
  <si>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</si>
  <si>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</si>
  <si>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</si>
  <si>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</si>
  <si>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</si>
  <si>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</si>
  <si>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</si>
  <si>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</si>
  <si>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</si>
  <si>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</si>
  <si>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</si>
  <si>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</si>
  <si>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</si>
  <si>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</si>
  <si>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</si>
  <si>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</si>
  <si>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</si>
  <si>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</si>
  <si>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</si>
  <si>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</si>
  <si>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</si>
  <si>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</si>
  <si>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</si>
  <si>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</si>
  <si>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</si>
  <si>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</si>
  <si>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</si>
  <si>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</si>
  <si>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</si>
  <si>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</si>
  <si>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</si>
  <si>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</si>
  <si>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</si>
  <si>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</si>
  <si>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</si>
  <si>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</si>
  <si>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</si>
  <si>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</si>
  <si>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</si>
  <si>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</si>
  <si>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</si>
  <si>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</si>
  <si>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</si>
  <si>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</si>
  <si>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</si>
  <si>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</si>
  <si>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</si>
  <si>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</si>
  <si>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</si>
  <si>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</si>
  <si>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</si>
  <si>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</si>
  <si>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</si>
  <si>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</si>
  <si>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</si>
  <si>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</si>
  <si>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</si>
  <si>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</si>
  <si>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</si>
  <si>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</si>
  <si>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</si>
  <si>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</si>
  <si>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</si>
  <si>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</si>
  <si>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</si>
  <si>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</si>
  <si>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</si>
  <si>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</si>
  <si>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</si>
  <si>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</si>
  <si>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</si>
  <si>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</si>
  <si>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</si>
  <si>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</si>
  <si>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</si>
  <si>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</si>
  <si>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</si>
  <si>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</si>
  <si>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</si>
  <si>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</si>
  <si>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</si>
  <si>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</si>
  <si>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</si>
  <si>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</si>
  <si>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</si>
  <si>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</si>
  <si>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</si>
  <si>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</si>
  <si>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</si>
  <si>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</si>
  <si>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</si>
  <si>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</si>
  <si>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</si>
  <si>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</si>
  <si>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</si>
  <si>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</si>
  <si>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</si>
  <si>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2015_03</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</si>
  <si>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</si>
  <si>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</si>
  <si>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</si>
  <si>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24066</t>
  </si>
  <si>
    <t>LUBBEEK</t>
  </si>
  <si>
    <t>Paarden&amp;pony's 200 - 600 kg</t>
  </si>
  <si>
    <t>Paarden&amp;pony's &lt; 200 kg</t>
  </si>
  <si>
    <t>referentietaak LNE (2017); Jaarverslag De Lijn (2015)</t>
  </si>
  <si>
    <t>op basis van VEA (maart 2018) en Inventaris Hernieuwbare Energiebronnen (juni 2018)</t>
  </si>
  <si>
    <t>VEA (januari 2017)</t>
  </si>
  <si>
    <t>VEA (juni 2018)</t>
  </si>
  <si>
    <t>Aspiravi NV</t>
  </si>
  <si>
    <t>Vaarnewijkstraat 17 , 8530 Harelbeke</t>
  </si>
  <si>
    <t>BGS-0007 Pellenberg Stort (GSC rest)</t>
  </si>
  <si>
    <t>biogas - stortgas</t>
  </si>
  <si>
    <t>niet WKK interne verbrandingsmotor (gas)</t>
  </si>
  <si>
    <t>Papenveld - , 3210 Lubbeek</t>
  </si>
  <si>
    <t>PBE</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</si>
</sst>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3">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6" fillId="0" borderId="0"/>
    <xf numFmtId="0" fontId="2" fillId="0" borderId="0" applyNumberFormat="0" applyFill="0" applyBorder="0" applyAlignment="0" applyProtection="0"/>
    <xf numFmtId="0" fontId="107" fillId="0" borderId="187"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6">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156"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5"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2"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109" fillId="12" borderId="193" xfId="0" applyNumberFormat="1" applyFont="1" applyFill="1" applyBorder="1" applyAlignment="1">
      <alignment horizontal="center" vertical="center" wrapText="1"/>
    </xf>
    <xf numFmtId="3" fontId="23" fillId="0" borderId="0" xfId="0" applyNumberFormat="1" applyFont="1"/>
    <xf numFmtId="3" fontId="109" fillId="12" borderId="191" xfId="0" applyNumberFormat="1" applyFont="1" applyFill="1" applyBorder="1" applyAlignment="1">
      <alignment horizontal="center" vertical="center" wrapText="1"/>
    </xf>
    <xf numFmtId="3" fontId="23" fillId="0" borderId="194" xfId="0" applyNumberFormat="1" applyFont="1" applyBorder="1" applyAlignment="1">
      <alignment horizontal="left" vertical="top"/>
    </xf>
    <xf numFmtId="3" fontId="24"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4" fillId="30" borderId="195" xfId="0" applyNumberFormat="1" applyFont="1" applyFill="1" applyBorder="1" applyAlignment="1">
      <alignment horizontal="left" vertical="top" wrapText="1"/>
    </xf>
    <xf numFmtId="3" fontId="24"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3" fillId="0" borderId="188" xfId="0" applyNumberFormat="1" applyFont="1" applyBorder="1" applyAlignment="1">
      <alignment horizontal="left" vertical="top"/>
    </xf>
    <xf numFmtId="3" fontId="24"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4" fillId="30" borderId="189" xfId="0" applyNumberFormat="1" applyFont="1" applyFill="1" applyBorder="1" applyAlignment="1">
      <alignment horizontal="left" vertical="top" wrapText="1"/>
    </xf>
    <xf numFmtId="3" fontId="24"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4"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4" fillId="0" borderId="189" xfId="0" applyNumberFormat="1" applyFont="1" applyBorder="1" applyAlignment="1">
      <alignment horizontal="left" vertical="top" wrapText="1"/>
    </xf>
    <xf numFmtId="3" fontId="24"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0" fillId="0" borderId="188" xfId="0" applyNumberFormat="1" applyFont="1" applyBorder="1" applyAlignment="1">
      <alignment horizontal="left" vertical="top"/>
    </xf>
    <xf numFmtId="3" fontId="24" fillId="0" borderId="190"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3"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1" fillId="0" borderId="201" xfId="0" applyNumberFormat="1" applyFont="1" applyBorder="1"/>
    <xf numFmtId="3" fontId="7" fillId="0" borderId="192" xfId="0" applyNumberFormat="1" applyFont="1" applyBorder="1"/>
    <xf numFmtId="3" fontId="7" fillId="0" borderId="202" xfId="0" applyNumberFormat="1" applyFont="1" applyBorder="1"/>
    <xf numFmtId="3" fontId="7" fillId="0" borderId="193" xfId="0" applyNumberFormat="1" applyFont="1" applyBorder="1"/>
    <xf numFmtId="3" fontId="7" fillId="0" borderId="191" xfId="0" applyNumberFormat="1" applyFont="1" applyBorder="1"/>
    <xf numFmtId="3" fontId="0" fillId="0" borderId="203"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8" fillId="0" borderId="0" xfId="0" applyNumberFormat="1" applyFont="1" applyFill="1" applyBorder="1" applyAlignment="1">
      <alignment horizontal="left" vertical="center" wrapText="1"/>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42"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59" fillId="12" borderId="31"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64"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91" xfId="0" applyNumberFormat="1" applyFont="1" applyFill="1" applyBorder="1" applyAlignment="1">
      <alignment horizontal="center" vertical="center" wrapText="1"/>
    </xf>
    <xf numFmtId="3" fontId="109" fillId="12" borderId="192" xfId="0" applyNumberFormat="1" applyFont="1" applyFill="1" applyBorder="1" applyAlignment="1">
      <alignment horizontal="center" vertical="top" wrapText="1"/>
    </xf>
    <xf numFmtId="3" fontId="109" fillId="12" borderId="193"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39" fillId="12" borderId="64" xfId="0" applyNumberFormat="1" applyFont="1" applyFill="1" applyBorder="1" applyAlignment="1" applyProtection="1">
      <alignment horizontal="center" vertical="center" wrapText="1"/>
    </xf>
    <xf numFmtId="0" fontId="39" fillId="12" borderId="7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125746.50975342892</c:v>
                </c:pt>
                <c:pt idx="1">
                  <c:v>24563.50154309563</c:v>
                </c:pt>
                <c:pt idx="2">
                  <c:v>882.25900000000001</c:v>
                </c:pt>
                <c:pt idx="3">
                  <c:v>3993.1387626138912</c:v>
                </c:pt>
                <c:pt idx="4">
                  <c:v>3348.8334793769368</c:v>
                </c:pt>
                <c:pt idx="5">
                  <c:v>68500.03186688725</c:v>
                </c:pt>
                <c:pt idx="6">
                  <c:v>3789.4332963883057</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770496"/>
        <c:axId val="183796864"/>
      </c:barChart>
      <c:catAx>
        <c:axId val="183770496"/>
        <c:scaling>
          <c:orientation val="minMax"/>
        </c:scaling>
        <c:axPos val="b"/>
        <c:numFmt formatCode="General" sourceLinked="0"/>
        <c:tickLblPos val="nextTo"/>
        <c:crossAx val="183796864"/>
        <c:crosses val="autoZero"/>
        <c:auto val="1"/>
        <c:lblAlgn val="ctr"/>
        <c:lblOffset val="100"/>
      </c:catAx>
      <c:valAx>
        <c:axId val="183796864"/>
        <c:scaling>
          <c:orientation val="minMax"/>
        </c:scaling>
        <c:axPos val="l"/>
        <c:majorGridlines/>
        <c:numFmt formatCode="#,##0" sourceLinked="1"/>
        <c:tickLblPos val="nextTo"/>
        <c:crossAx val="18377049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125746.50975342892</c:v>
                </c:pt>
                <c:pt idx="1">
                  <c:v>24563.50154309563</c:v>
                </c:pt>
                <c:pt idx="2">
                  <c:v>882.25900000000001</c:v>
                </c:pt>
                <c:pt idx="3">
                  <c:v>3993.1387626138912</c:v>
                </c:pt>
                <c:pt idx="4">
                  <c:v>3348.8334793769368</c:v>
                </c:pt>
                <c:pt idx="5">
                  <c:v>68500.03186688725</c:v>
                </c:pt>
                <c:pt idx="6">
                  <c:v>3789.4332963883057</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27051.631026832471</c:v>
                </c:pt>
                <c:pt idx="1">
                  <c:v>4999.291807097843</c:v>
                </c:pt>
                <c:pt idx="2">
                  <c:v>168.34516643822974</c:v>
                </c:pt>
                <c:pt idx="3">
                  <c:v>1006.4993233749765</c:v>
                </c:pt>
                <c:pt idx="4">
                  <c:v>608.01295445828111</c:v>
                </c:pt>
                <c:pt idx="5">
                  <c:v>17529.965031413332</c:v>
                </c:pt>
                <c:pt idx="6">
                  <c:v>981.33972723258307</c:v>
                </c:pt>
                <c:pt idx="7">
                  <c:v>0</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4207616"/>
        <c:axId val="184291328"/>
      </c:barChart>
      <c:catAx>
        <c:axId val="184207616"/>
        <c:scaling>
          <c:orientation val="minMax"/>
        </c:scaling>
        <c:axPos val="b"/>
        <c:numFmt formatCode="General" sourceLinked="0"/>
        <c:tickLblPos val="nextTo"/>
        <c:crossAx val="184291328"/>
        <c:crosses val="autoZero"/>
        <c:auto val="1"/>
        <c:lblAlgn val="ctr"/>
        <c:lblOffset val="100"/>
      </c:catAx>
      <c:valAx>
        <c:axId val="184291328"/>
        <c:scaling>
          <c:orientation val="minMax"/>
        </c:scaling>
        <c:axPos val="l"/>
        <c:majorGridlines/>
        <c:numFmt formatCode="#,##0" sourceLinked="1"/>
        <c:tickLblPos val="nextTo"/>
        <c:crossAx val="18420761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27051.631026832471</c:v>
                </c:pt>
                <c:pt idx="1">
                  <c:v>4999.291807097843</c:v>
                </c:pt>
                <c:pt idx="2">
                  <c:v>168.34516643822974</c:v>
                </c:pt>
                <c:pt idx="3">
                  <c:v>1006.4993233749765</c:v>
                </c:pt>
                <c:pt idx="4">
                  <c:v>608.01295445828111</c:v>
                </c:pt>
                <c:pt idx="5">
                  <c:v>17529.965031413332</c:v>
                </c:pt>
                <c:pt idx="6">
                  <c:v>981.33972723258307</c:v>
                </c:pt>
                <c:pt idx="7">
                  <c:v>0</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843</v>
      </c>
      <c r="B4" s="106"/>
      <c r="C4" s="107"/>
    </row>
    <row r="5" spans="1:7" s="413" customFormat="1" ht="15.75" customHeight="1">
      <c r="A5" s="410" t="s">
        <v>0</v>
      </c>
      <c r="B5" s="411"/>
      <c r="C5" s="412"/>
    </row>
    <row r="6" spans="1:7" s="413" customFormat="1" ht="15" customHeight="1">
      <c r="A6" s="414" t="str">
        <f>txtNIS</f>
        <v>24066</v>
      </c>
      <c r="B6" s="415"/>
      <c r="C6" s="416"/>
    </row>
    <row r="7" spans="1:7" s="413" customFormat="1" ht="15.75" customHeight="1">
      <c r="A7" s="417" t="str">
        <f>txtMunicipality</f>
        <v>LUBBEEK</v>
      </c>
      <c r="B7" s="415"/>
      <c r="C7" s="416"/>
    </row>
    <row r="8" spans="1:7" ht="15.75" thickBot="1">
      <c r="A8" s="45"/>
      <c r="B8" s="108"/>
      <c r="C8" s="109"/>
    </row>
    <row r="9" spans="1:7" s="406" customFormat="1" ht="15.75" thickBot="1">
      <c r="A9" s="430" t="s">
        <v>357</v>
      </c>
      <c r="B9" s="433"/>
      <c r="C9" s="434"/>
    </row>
    <row r="10" spans="1:7" s="15" customFormat="1" ht="57.75" customHeight="1" thickBot="1">
      <c r="A10" s="1064" t="s">
        <v>688</v>
      </c>
      <c r="B10" s="1065"/>
      <c r="C10" s="1066"/>
    </row>
    <row r="11" spans="1:7" s="407" customFormat="1" ht="15.75" thickBot="1">
      <c r="A11" s="430" t="s">
        <v>359</v>
      </c>
      <c r="B11" s="433"/>
      <c r="C11" s="434"/>
      <c r="G11" s="408"/>
    </row>
    <row r="12" spans="1:7">
      <c r="A12" s="44"/>
      <c r="B12" s="43"/>
      <c r="C12" s="96"/>
    </row>
    <row r="13" spans="1:7" s="407" customFormat="1">
      <c r="A13" s="833"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7" t="s">
        <v>523</v>
      </c>
      <c r="C16" s="106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525</v>
      </c>
      <c r="B2" s="530"/>
      <c r="C2" s="185"/>
      <c r="D2" s="186"/>
    </row>
    <row r="3" spans="1:11">
      <c r="A3" s="101"/>
      <c r="B3" s="531"/>
      <c r="C3" s="141" t="s">
        <v>182</v>
      </c>
      <c r="D3" s="144" t="s">
        <v>391</v>
      </c>
    </row>
    <row r="4" spans="1:11">
      <c r="A4" s="44" t="s">
        <v>444</v>
      </c>
      <c r="B4" s="47"/>
      <c r="C4" s="32"/>
      <c r="D4" s="143" t="s">
        <v>393</v>
      </c>
    </row>
    <row r="5" spans="1:11">
      <c r="A5" s="44"/>
      <c r="B5" s="48"/>
      <c r="C5" s="32"/>
      <c r="D5" s="143"/>
    </row>
    <row r="6" spans="1:11" s="10" customFormat="1" ht="21.75" thickBot="1">
      <c r="A6" s="189" t="s">
        <v>477</v>
      </c>
      <c r="B6" s="532"/>
      <c r="C6" s="190"/>
      <c r="D6" s="191"/>
    </row>
    <row r="7" spans="1:11" s="43" customFormat="1" ht="15.75" thickBot="1">
      <c r="B7" s="478"/>
    </row>
    <row r="8" spans="1:11" s="43" customFormat="1">
      <c r="A8" s="184" t="s">
        <v>538</v>
      </c>
      <c r="B8" s="530"/>
      <c r="C8" s="185"/>
      <c r="D8" s="186"/>
    </row>
    <row r="9" spans="1:11" s="32" customFormat="1">
      <c r="A9" s="46"/>
      <c r="B9" s="533"/>
      <c r="C9" s="42"/>
      <c r="D9" s="303"/>
    </row>
    <row r="10" spans="1:11">
      <c r="A10" s="304" t="s">
        <v>567</v>
      </c>
      <c r="B10" s="531"/>
      <c r="C10" s="141" t="s">
        <v>182</v>
      </c>
      <c r="D10" s="144" t="s">
        <v>391</v>
      </c>
      <c r="I10" s="1173"/>
      <c r="K10" s="58"/>
    </row>
    <row r="11" spans="1:11" s="43" customFormat="1">
      <c r="A11" s="44" t="s">
        <v>568</v>
      </c>
      <c r="B11" s="47"/>
      <c r="D11" s="142" t="s">
        <v>392</v>
      </c>
      <c r="I11" s="1173"/>
      <c r="K11" s="58"/>
    </row>
    <row r="12" spans="1:11" s="43" customFormat="1">
      <c r="A12" s="44" t="s">
        <v>569</v>
      </c>
      <c r="B12" s="47"/>
      <c r="D12" s="142" t="s">
        <v>392</v>
      </c>
      <c r="I12" s="1173"/>
      <c r="K12" s="58"/>
    </row>
    <row r="13" spans="1:11" s="43" customFormat="1">
      <c r="A13" s="44"/>
      <c r="B13" s="478"/>
      <c r="D13" s="96"/>
      <c r="I13" s="1173"/>
    </row>
    <row r="14" spans="1:11" s="43" customFormat="1">
      <c r="A14" s="304" t="s">
        <v>566</v>
      </c>
      <c r="B14" s="531"/>
      <c r="C14" s="141" t="s">
        <v>182</v>
      </c>
      <c r="D14" s="144" t="s">
        <v>391</v>
      </c>
      <c r="I14" s="1173"/>
    </row>
    <row r="15" spans="1:11" s="43" customFormat="1">
      <c r="A15" s="44" t="s">
        <v>71</v>
      </c>
      <c r="B15" s="47"/>
      <c r="D15" s="142" t="s">
        <v>392</v>
      </c>
      <c r="I15" s="1173"/>
      <c r="J15" s="1173"/>
    </row>
    <row r="16" spans="1:11" s="43" customFormat="1">
      <c r="A16" s="44" t="s">
        <v>530</v>
      </c>
      <c r="B16" s="47"/>
      <c r="D16" s="142" t="s">
        <v>392</v>
      </c>
      <c r="I16" s="1173"/>
      <c r="J16" s="1173"/>
    </row>
    <row r="17" spans="1:11" s="43" customFormat="1">
      <c r="A17" s="44" t="s">
        <v>78</v>
      </c>
      <c r="B17" s="47"/>
      <c r="D17" s="142" t="s">
        <v>392</v>
      </c>
      <c r="I17" s="1173"/>
      <c r="J17" s="1173"/>
    </row>
    <row r="18" spans="1:11" s="43" customFormat="1">
      <c r="A18" s="44" t="s">
        <v>531</v>
      </c>
      <c r="B18" s="47"/>
      <c r="D18" s="142" t="s">
        <v>392</v>
      </c>
      <c r="I18" s="1173"/>
      <c r="J18" s="1173"/>
      <c r="K18" s="58"/>
    </row>
    <row r="19" spans="1:11" s="43" customFormat="1">
      <c r="A19" s="44" t="s">
        <v>77</v>
      </c>
      <c r="B19" s="47"/>
      <c r="D19" s="142" t="s">
        <v>392</v>
      </c>
      <c r="I19" s="1173"/>
      <c r="J19" s="1174"/>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4"/>
      <c r="C26" s="108"/>
      <c r="D26" s="109"/>
      <c r="I26" s="58"/>
      <c r="J26" s="58"/>
      <c r="K26" s="58"/>
    </row>
    <row r="28" spans="1:11" ht="15.75" thickBot="1"/>
    <row r="29" spans="1:11" s="43" customFormat="1">
      <c r="A29" s="184" t="s">
        <v>526</v>
      </c>
      <c r="B29" s="530"/>
      <c r="C29" s="185"/>
      <c r="D29" s="186"/>
    </row>
    <row r="30" spans="1:11" s="32" customFormat="1">
      <c r="A30" s="46"/>
      <c r="B30" s="533"/>
      <c r="C30" s="42"/>
      <c r="D30" s="303"/>
    </row>
    <row r="31" spans="1:11">
      <c r="A31" s="304" t="s">
        <v>567</v>
      </c>
      <c r="B31" s="531"/>
      <c r="C31" s="141" t="s">
        <v>182</v>
      </c>
      <c r="D31" s="144" t="s">
        <v>391</v>
      </c>
    </row>
    <row r="32" spans="1:11">
      <c r="A32" s="467" t="s">
        <v>568</v>
      </c>
      <c r="B32" s="47"/>
      <c r="C32" s="48"/>
      <c r="D32" s="142" t="s">
        <v>392</v>
      </c>
    </row>
    <row r="33" spans="1:11">
      <c r="A33" s="44"/>
      <c r="B33" s="48"/>
      <c r="C33" s="48"/>
      <c r="D33" s="142"/>
    </row>
    <row r="34" spans="1:11" s="43" customFormat="1">
      <c r="A34" s="304" t="s">
        <v>566</v>
      </c>
      <c r="B34" s="531"/>
      <c r="C34" s="141" t="s">
        <v>182</v>
      </c>
      <c r="D34" s="144" t="s">
        <v>391</v>
      </c>
      <c r="I34"/>
    </row>
    <row r="35" spans="1:11" s="43" customFormat="1">
      <c r="A35" s="466" t="s">
        <v>71</v>
      </c>
      <c r="B35" s="47"/>
      <c r="D35" s="142" t="s">
        <v>392</v>
      </c>
      <c r="I35" s="1173"/>
      <c r="J35" s="1173"/>
    </row>
    <row r="36" spans="1:11" s="43" customFormat="1">
      <c r="A36" s="466" t="s">
        <v>530</v>
      </c>
      <c r="B36" s="47"/>
      <c r="D36" s="142" t="s">
        <v>392</v>
      </c>
      <c r="I36" s="1173"/>
      <c r="J36" s="1173"/>
    </row>
    <row r="37" spans="1:11" s="43" customFormat="1">
      <c r="A37" s="466" t="s">
        <v>78</v>
      </c>
      <c r="B37" s="47"/>
      <c r="D37" s="142" t="s">
        <v>392</v>
      </c>
      <c r="I37" s="1173"/>
      <c r="J37" s="1173"/>
    </row>
    <row r="38" spans="1:11" s="43" customFormat="1">
      <c r="A38" s="466" t="s">
        <v>531</v>
      </c>
      <c r="B38" s="47"/>
      <c r="D38" s="142" t="s">
        <v>392</v>
      </c>
      <c r="I38" s="1173"/>
      <c r="J38" s="1173"/>
      <c r="K38" s="58"/>
    </row>
    <row r="39" spans="1:11" s="43" customFormat="1">
      <c r="A39" s="466" t="s">
        <v>77</v>
      </c>
      <c r="B39" s="47"/>
      <c r="D39" s="142" t="s">
        <v>392</v>
      </c>
      <c r="I39" s="1173"/>
      <c r="J39" s="1174"/>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30"/>
      <c r="C55" s="185"/>
      <c r="D55" s="186"/>
    </row>
    <row r="56" spans="1:4">
      <c r="A56" s="101"/>
      <c r="B56" s="531"/>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592</v>
      </c>
      <c r="B1" s="678"/>
      <c r="C1" s="678"/>
      <c r="D1" s="678"/>
      <c r="E1" s="679"/>
    </row>
    <row r="2" spans="1:5">
      <c r="A2" s="690" t="s">
        <v>394</v>
      </c>
      <c r="B2" s="695" t="s">
        <v>517</v>
      </c>
      <c r="C2" s="691"/>
      <c r="D2" s="691"/>
      <c r="E2" s="692"/>
    </row>
    <row r="3" spans="1:5">
      <c r="A3" s="693"/>
      <c r="B3" s="694"/>
      <c r="C3" s="682"/>
      <c r="D3" s="682"/>
      <c r="E3" s="683"/>
    </row>
    <row r="4" spans="1:5" s="334" customFormat="1" ht="45">
      <c r="A4" s="681" t="s">
        <v>596</v>
      </c>
      <c r="B4" s="689" t="s">
        <v>585</v>
      </c>
      <c r="C4" s="710" t="s">
        <v>607</v>
      </c>
      <c r="D4" s="711" t="s">
        <v>608</v>
      </c>
      <c r="E4" s="712" t="s">
        <v>609</v>
      </c>
    </row>
    <row r="5" spans="1:5">
      <c r="A5" s="684" t="s">
        <v>586</v>
      </c>
      <c r="B5" s="676" t="s">
        <v>587</v>
      </c>
      <c r="C5" s="707">
        <v>3.678273E-2</v>
      </c>
      <c r="D5" s="708">
        <v>0.27778000000000003</v>
      </c>
      <c r="E5" s="700">
        <f>C5*D5</f>
        <v>1.0217506739400001E-2</v>
      </c>
    </row>
    <row r="6" spans="1:5">
      <c r="A6" s="684" t="s">
        <v>586</v>
      </c>
      <c r="B6" s="676" t="s">
        <v>588</v>
      </c>
      <c r="C6" s="707">
        <v>4.2278999999999997E-2</v>
      </c>
      <c r="D6" s="708">
        <v>0.27778000000000003</v>
      </c>
      <c r="E6" s="700">
        <f t="shared" ref="E6:E21" si="0">C6*D6</f>
        <v>1.174426062E-2</v>
      </c>
    </row>
    <row r="7" spans="1:5">
      <c r="A7" s="684" t="s">
        <v>586</v>
      </c>
      <c r="B7" s="676" t="s">
        <v>589</v>
      </c>
      <c r="C7" s="707">
        <v>42.279000000000003</v>
      </c>
      <c r="D7" s="708">
        <v>0.27778000000000003</v>
      </c>
      <c r="E7" s="700">
        <f t="shared" si="0"/>
        <v>11.744260620000002</v>
      </c>
    </row>
    <row r="8" spans="1:5">
      <c r="A8" s="684" t="s">
        <v>590</v>
      </c>
      <c r="B8" s="676" t="s">
        <v>587</v>
      </c>
      <c r="C8" s="707">
        <v>3.8573799999999998E-2</v>
      </c>
      <c r="D8" s="708">
        <v>0.27778000000000003</v>
      </c>
      <c r="E8" s="700">
        <f t="shared" si="0"/>
        <v>1.0715030164E-2</v>
      </c>
    </row>
    <row r="9" spans="1:5">
      <c r="A9" s="684" t="s">
        <v>590</v>
      </c>
      <c r="B9" s="676" t="s">
        <v>588</v>
      </c>
      <c r="C9" s="707">
        <v>4.0604000000000001E-2</v>
      </c>
      <c r="D9" s="708">
        <v>0.27778000000000003</v>
      </c>
      <c r="E9" s="700">
        <f t="shared" si="0"/>
        <v>1.1278979120000001E-2</v>
      </c>
    </row>
    <row r="10" spans="1:5">
      <c r="A10" s="684" t="s">
        <v>590</v>
      </c>
      <c r="B10" s="676" t="s">
        <v>589</v>
      </c>
      <c r="C10" s="707">
        <v>40.603999999999999</v>
      </c>
      <c r="D10" s="708">
        <v>0.27778000000000003</v>
      </c>
      <c r="E10" s="700">
        <f t="shared" si="0"/>
        <v>11.278979120000001</v>
      </c>
    </row>
    <row r="11" spans="1:5">
      <c r="A11" s="684" t="s">
        <v>610</v>
      </c>
      <c r="B11" s="676" t="s">
        <v>587</v>
      </c>
      <c r="C11" s="707">
        <v>2.3511000000000001E-2</v>
      </c>
      <c r="D11" s="708">
        <v>0.27778000000000003</v>
      </c>
      <c r="E11" s="700">
        <f t="shared" si="0"/>
        <v>6.5308855800000004E-3</v>
      </c>
    </row>
    <row r="12" spans="1:5">
      <c r="A12" s="684" t="s">
        <v>610</v>
      </c>
      <c r="B12" s="676" t="s">
        <v>588</v>
      </c>
      <c r="C12" s="707">
        <v>4.6100000000000002E-2</v>
      </c>
      <c r="D12" s="708">
        <v>0.27778000000000003</v>
      </c>
      <c r="E12" s="700">
        <f t="shared" si="0"/>
        <v>1.2805658000000001E-2</v>
      </c>
    </row>
    <row r="13" spans="1:5">
      <c r="A13" s="684" t="s">
        <v>610</v>
      </c>
      <c r="B13" s="676" t="s">
        <v>589</v>
      </c>
      <c r="C13" s="707">
        <v>46.1</v>
      </c>
      <c r="D13" s="708">
        <v>0.27778000000000003</v>
      </c>
      <c r="E13" s="700">
        <f t="shared" si="0"/>
        <v>12.805658000000001</v>
      </c>
    </row>
    <row r="14" spans="1:5">
      <c r="A14" s="684" t="s">
        <v>611</v>
      </c>
      <c r="B14" s="676" t="s">
        <v>587</v>
      </c>
      <c r="C14" s="707">
        <v>2.6525139999999999E-2</v>
      </c>
      <c r="D14" s="708">
        <v>0.27778000000000003</v>
      </c>
      <c r="E14" s="700">
        <f t="shared" si="0"/>
        <v>7.3681533892000009E-3</v>
      </c>
    </row>
    <row r="15" spans="1:5">
      <c r="A15" s="684" t="s">
        <v>611</v>
      </c>
      <c r="B15" s="676" t="s">
        <v>588</v>
      </c>
      <c r="C15" s="707">
        <v>4.5733000000000003E-2</v>
      </c>
      <c r="D15" s="708">
        <v>0.27778000000000003</v>
      </c>
      <c r="E15" s="700">
        <f t="shared" si="0"/>
        <v>1.2703712740000001E-2</v>
      </c>
    </row>
    <row r="16" spans="1:5">
      <c r="A16" s="684" t="s">
        <v>611</v>
      </c>
      <c r="B16" s="676" t="s">
        <v>589</v>
      </c>
      <c r="C16" s="707">
        <v>45.732999999999997</v>
      </c>
      <c r="D16" s="708">
        <v>0.27778000000000003</v>
      </c>
      <c r="E16" s="700">
        <f t="shared" si="0"/>
        <v>12.70371274</v>
      </c>
    </row>
    <row r="17" spans="1:10">
      <c r="A17" s="684" t="s">
        <v>594</v>
      </c>
      <c r="B17" s="676" t="s">
        <v>591</v>
      </c>
      <c r="C17" s="707">
        <v>3.2923000000000001E-2</v>
      </c>
      <c r="D17" s="708">
        <f>0.27778</f>
        <v>0.27778000000000003</v>
      </c>
      <c r="E17" s="700">
        <f t="shared" si="0"/>
        <v>9.1453509400000015E-3</v>
      </c>
    </row>
    <row r="18" spans="1:10">
      <c r="A18" s="684" t="s">
        <v>595</v>
      </c>
      <c r="B18" s="676" t="s">
        <v>591</v>
      </c>
      <c r="C18" s="707">
        <v>3.8852400000000002E-2</v>
      </c>
      <c r="D18" s="708">
        <f>0.27778</f>
        <v>0.27778000000000003</v>
      </c>
      <c r="E18" s="700">
        <f t="shared" si="0"/>
        <v>1.0792419672000002E-2</v>
      </c>
    </row>
    <row r="19" spans="1:10">
      <c r="A19" s="684" t="s">
        <v>598</v>
      </c>
      <c r="B19" s="676" t="s">
        <v>587</v>
      </c>
      <c r="C19" s="707">
        <v>2.4812460000000001E-2</v>
      </c>
      <c r="D19" s="708">
        <v>0.27778000000000003</v>
      </c>
      <c r="E19" s="700">
        <f t="shared" si="0"/>
        <v>6.8924051388000009E-3</v>
      </c>
    </row>
    <row r="20" spans="1:10">
      <c r="A20" s="684" t="s">
        <v>598</v>
      </c>
      <c r="B20" s="676" t="s">
        <v>588</v>
      </c>
      <c r="C20" s="707">
        <v>4.5948999999999997E-2</v>
      </c>
      <c r="D20" s="708">
        <v>0.27778000000000003</v>
      </c>
      <c r="E20" s="700">
        <f t="shared" si="0"/>
        <v>1.276371322E-2</v>
      </c>
    </row>
    <row r="21" spans="1:10">
      <c r="A21" s="684" t="s">
        <v>598</v>
      </c>
      <c r="B21" s="676" t="s">
        <v>589</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593</v>
      </c>
      <c r="B24" s="678"/>
      <c r="C24" s="678"/>
      <c r="D24" s="678"/>
      <c r="E24" s="679"/>
    </row>
    <row r="25" spans="1:10">
      <c r="A25" s="704" t="s">
        <v>394</v>
      </c>
      <c r="B25" s="682" t="s">
        <v>654</v>
      </c>
      <c r="C25" s="682"/>
      <c r="D25" s="682"/>
      <c r="E25" s="683"/>
    </row>
    <row r="26" spans="1:10">
      <c r="A26" s="44"/>
      <c r="B26" s="43"/>
      <c r="C26" s="43"/>
      <c r="D26" s="43"/>
      <c r="E26" s="96"/>
    </row>
    <row r="27" spans="1:10" s="334" customFormat="1">
      <c r="A27" s="681" t="s">
        <v>596</v>
      </c>
      <c r="B27" s="689" t="s">
        <v>585</v>
      </c>
      <c r="C27" s="697"/>
      <c r="D27" s="696"/>
      <c r="E27" s="712" t="s">
        <v>600</v>
      </c>
    </row>
    <row r="28" spans="1:10">
      <c r="A28" s="684" t="s">
        <v>202</v>
      </c>
      <c r="B28" s="676" t="s">
        <v>587</v>
      </c>
      <c r="C28" s="698"/>
      <c r="D28" s="699"/>
      <c r="E28" s="706">
        <f>E29*0.853</f>
        <v>1.0116343055555555E-2</v>
      </c>
      <c r="G28" s="680"/>
      <c r="H28" s="852"/>
      <c r="I28" s="852"/>
      <c r="J28" s="852"/>
    </row>
    <row r="29" spans="1:10">
      <c r="A29" s="684" t="s">
        <v>202</v>
      </c>
      <c r="B29" s="676" t="s">
        <v>588</v>
      </c>
      <c r="C29" s="698"/>
      <c r="D29" s="699"/>
      <c r="E29" s="706">
        <f>0.042695/3.6</f>
        <v>1.1859722222222221E-2</v>
      </c>
      <c r="F29" s="982"/>
      <c r="G29" s="680"/>
      <c r="H29" s="852"/>
      <c r="I29" s="852"/>
      <c r="J29" s="852"/>
    </row>
    <row r="30" spans="1:10">
      <c r="A30" s="684" t="s">
        <v>120</v>
      </c>
      <c r="B30" s="676" t="s">
        <v>587</v>
      </c>
      <c r="C30" s="698"/>
      <c r="D30" s="699"/>
      <c r="E30" s="706">
        <f>E31*0.755</f>
        <v>9.1803805555555566E-3</v>
      </c>
      <c r="H30" s="852"/>
      <c r="I30" s="852"/>
      <c r="J30" s="852"/>
    </row>
    <row r="31" spans="1:10">
      <c r="A31" s="684" t="s">
        <v>120</v>
      </c>
      <c r="B31" s="676" t="s">
        <v>588</v>
      </c>
      <c r="C31" s="698"/>
      <c r="D31" s="699"/>
      <c r="E31" s="706">
        <f>0.043774/3.6</f>
        <v>1.2159444444444445E-2</v>
      </c>
      <c r="H31" s="852"/>
      <c r="I31" s="852"/>
      <c r="J31" s="852"/>
    </row>
    <row r="32" spans="1:10">
      <c r="A32" s="684" t="s">
        <v>598</v>
      </c>
      <c r="B32" s="676" t="s">
        <v>587</v>
      </c>
      <c r="C32" s="698"/>
      <c r="D32" s="699"/>
      <c r="E32" s="706">
        <f>E33*0.55</f>
        <v>7.1139444444444453E-3</v>
      </c>
      <c r="H32" s="852"/>
    </row>
    <row r="33" spans="1:8">
      <c r="A33" s="684" t="s">
        <v>598</v>
      </c>
      <c r="B33" s="676" t="s">
        <v>588</v>
      </c>
      <c r="C33" s="698"/>
      <c r="D33" s="699"/>
      <c r="E33" s="706">
        <f>0.046564/3.6</f>
        <v>1.2934444444444445E-2</v>
      </c>
      <c r="H33" s="852"/>
    </row>
    <row r="34" spans="1:8">
      <c r="A34" s="684" t="s">
        <v>599</v>
      </c>
      <c r="B34" s="676" t="s">
        <v>587</v>
      </c>
      <c r="C34" s="698"/>
      <c r="D34" s="699"/>
      <c r="E34" s="706">
        <f>E35*0.0007</f>
        <v>9.3333333333333326E-6</v>
      </c>
      <c r="H34" s="852"/>
    </row>
    <row r="35" spans="1:8">
      <c r="A35" s="684" t="s">
        <v>599</v>
      </c>
      <c r="B35" s="676" t="s">
        <v>588</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24066</v>
      </c>
      <c r="B1" s="332"/>
      <c r="C1" s="332"/>
      <c r="D1" s="332"/>
      <c r="E1" s="332"/>
      <c r="F1" s="333"/>
    </row>
    <row r="3" spans="1:6" ht="19.5">
      <c r="A3" s="335" t="s">
        <v>0</v>
      </c>
    </row>
    <row r="4" spans="1:6" ht="22.5">
      <c r="A4" s="1269" t="s">
        <v>847</v>
      </c>
    </row>
    <row r="5" spans="1:6" ht="22.5">
      <c r="A5" s="1269" t="s">
        <v>848</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5586</v>
      </c>
      <c r="C9" s="342">
        <v>5646</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2323.27</v>
      </c>
    </row>
    <row r="15" spans="1:6">
      <c r="A15" s="348" t="s">
        <v>184</v>
      </c>
      <c r="B15" s="334">
        <v>477</v>
      </c>
    </row>
    <row r="16" spans="1:6">
      <c r="A16" s="348" t="s">
        <v>6</v>
      </c>
      <c r="B16" s="334">
        <v>502</v>
      </c>
    </row>
    <row r="17" spans="1:6">
      <c r="A17" s="348" t="s">
        <v>7</v>
      </c>
      <c r="B17" s="334">
        <v>318</v>
      </c>
    </row>
    <row r="18" spans="1:6">
      <c r="A18" s="348" t="s">
        <v>8</v>
      </c>
      <c r="B18" s="334">
        <v>610</v>
      </c>
    </row>
    <row r="19" spans="1:6">
      <c r="A19" s="348" t="s">
        <v>9</v>
      </c>
      <c r="B19" s="334">
        <v>558</v>
      </c>
    </row>
    <row r="20" spans="1:6">
      <c r="A20" s="348" t="s">
        <v>10</v>
      </c>
      <c r="B20" s="334">
        <v>359</v>
      </c>
    </row>
    <row r="21" spans="1:6">
      <c r="A21" s="348" t="s">
        <v>11</v>
      </c>
      <c r="B21" s="334">
        <v>907</v>
      </c>
    </row>
    <row r="22" spans="1:6">
      <c r="A22" s="348" t="s">
        <v>12</v>
      </c>
      <c r="B22" s="334">
        <v>2041</v>
      </c>
    </row>
    <row r="23" spans="1:6">
      <c r="A23" s="348" t="s">
        <v>13</v>
      </c>
      <c r="B23" s="334">
        <v>0</v>
      </c>
    </row>
    <row r="24" spans="1:6">
      <c r="A24" s="348" t="s">
        <v>14</v>
      </c>
      <c r="B24" s="334">
        <v>0</v>
      </c>
    </row>
    <row r="25" spans="1:6">
      <c r="A25" s="348" t="s">
        <v>15</v>
      </c>
      <c r="B25" s="334">
        <v>0</v>
      </c>
    </row>
    <row r="26" spans="1:6">
      <c r="A26" s="348" t="s">
        <v>16</v>
      </c>
      <c r="B26" s="334">
        <v>269</v>
      </c>
    </row>
    <row r="27" spans="1:6">
      <c r="A27" s="348" t="s">
        <v>17</v>
      </c>
      <c r="B27" s="334">
        <v>8</v>
      </c>
    </row>
    <row r="28" spans="1:6" s="356" customFormat="1">
      <c r="A28" s="355" t="s">
        <v>18</v>
      </c>
      <c r="B28" s="355">
        <v>0</v>
      </c>
    </row>
    <row r="29" spans="1:6">
      <c r="A29" s="355" t="s">
        <v>849</v>
      </c>
      <c r="B29" s="355">
        <v>292</v>
      </c>
      <c r="C29" s="356"/>
      <c r="D29" s="356"/>
      <c r="E29" s="356"/>
      <c r="F29" s="356"/>
    </row>
    <row r="30" spans="1:6">
      <c r="A30" s="355" t="s">
        <v>850</v>
      </c>
      <c r="B30" s="341">
        <v>42</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28</v>
      </c>
      <c r="F36" s="334">
        <v>2744785</v>
      </c>
    </row>
    <row r="37" spans="1:6">
      <c r="A37" s="348" t="s">
        <v>25</v>
      </c>
      <c r="B37" s="348" t="s">
        <v>28</v>
      </c>
      <c r="C37" s="334">
        <v>0</v>
      </c>
      <c r="D37" s="334">
        <v>0</v>
      </c>
      <c r="E37" s="334">
        <v>0</v>
      </c>
      <c r="F37" s="334">
        <v>0</v>
      </c>
    </row>
    <row r="38" spans="1:6">
      <c r="A38" s="348" t="s">
        <v>25</v>
      </c>
      <c r="B38" s="348" t="s">
        <v>29</v>
      </c>
      <c r="C38" s="334">
        <v>0</v>
      </c>
      <c r="D38" s="334">
        <v>939003</v>
      </c>
      <c r="E38" s="334">
        <v>0</v>
      </c>
      <c r="F38" s="334">
        <v>28409</v>
      </c>
    </row>
    <row r="39" spans="1:6">
      <c r="A39" s="348" t="s">
        <v>30</v>
      </c>
      <c r="B39" s="348" t="s">
        <v>31</v>
      </c>
      <c r="C39" s="334">
        <v>2014</v>
      </c>
      <c r="D39" s="334">
        <v>34351067</v>
      </c>
      <c r="E39" s="334">
        <v>5406</v>
      </c>
      <c r="F39" s="334">
        <v>22666006</v>
      </c>
    </row>
    <row r="40" spans="1:6">
      <c r="A40" s="348" t="s">
        <v>30</v>
      </c>
      <c r="B40" s="348" t="s">
        <v>29</v>
      </c>
      <c r="C40" s="334">
        <v>0</v>
      </c>
      <c r="D40" s="334">
        <v>0</v>
      </c>
      <c r="E40" s="334">
        <v>0</v>
      </c>
      <c r="F40" s="334">
        <v>0</v>
      </c>
    </row>
    <row r="41" spans="1:6">
      <c r="A41" s="348" t="s">
        <v>32</v>
      </c>
      <c r="B41" s="348" t="s">
        <v>33</v>
      </c>
      <c r="C41" s="334">
        <v>23</v>
      </c>
      <c r="D41" s="334">
        <v>496425</v>
      </c>
      <c r="E41" s="334">
        <v>88</v>
      </c>
      <c r="F41" s="334">
        <v>562870</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8</v>
      </c>
      <c r="F44" s="334">
        <v>30772</v>
      </c>
    </row>
    <row r="45" spans="1:6">
      <c r="A45" s="348" t="s">
        <v>32</v>
      </c>
      <c r="B45" s="348" t="s">
        <v>37</v>
      </c>
      <c r="C45" s="334">
        <v>0</v>
      </c>
      <c r="D45" s="334">
        <v>0</v>
      </c>
      <c r="E45" s="334">
        <v>3</v>
      </c>
      <c r="F45" s="334">
        <v>426901</v>
      </c>
    </row>
    <row r="46" spans="1:6">
      <c r="A46" s="348" t="s">
        <v>32</v>
      </c>
      <c r="B46" s="348" t="s">
        <v>38</v>
      </c>
      <c r="C46" s="334">
        <v>0</v>
      </c>
      <c r="D46" s="334">
        <v>0</v>
      </c>
      <c r="E46" s="334">
        <v>0</v>
      </c>
      <c r="F46" s="334">
        <v>0</v>
      </c>
    </row>
    <row r="47" spans="1:6">
      <c r="A47" s="348" t="s">
        <v>32</v>
      </c>
      <c r="B47" s="348" t="s">
        <v>39</v>
      </c>
      <c r="C47" s="334">
        <v>0</v>
      </c>
      <c r="D47" s="334">
        <v>0</v>
      </c>
      <c r="E47" s="334">
        <v>3</v>
      </c>
      <c r="F47" s="334">
        <v>106464</v>
      </c>
    </row>
    <row r="48" spans="1:6">
      <c r="A48" s="348" t="s">
        <v>32</v>
      </c>
      <c r="B48" s="348" t="s">
        <v>29</v>
      </c>
      <c r="C48" s="334">
        <v>5</v>
      </c>
      <c r="D48" s="334">
        <v>131642</v>
      </c>
      <c r="E48" s="334">
        <v>0</v>
      </c>
      <c r="F48" s="334">
        <v>0</v>
      </c>
    </row>
    <row r="49" spans="1:6">
      <c r="A49" s="348" t="s">
        <v>32</v>
      </c>
      <c r="B49" s="348" t="s">
        <v>40</v>
      </c>
      <c r="C49" s="334">
        <v>0</v>
      </c>
      <c r="D49" s="334">
        <v>0</v>
      </c>
      <c r="E49" s="334">
        <v>0</v>
      </c>
      <c r="F49" s="334">
        <v>0</v>
      </c>
    </row>
    <row r="50" spans="1:6">
      <c r="A50" s="348" t="s">
        <v>32</v>
      </c>
      <c r="B50" s="348" t="s">
        <v>41</v>
      </c>
      <c r="C50" s="334">
        <v>4</v>
      </c>
      <c r="D50" s="334">
        <v>34442</v>
      </c>
      <c r="E50" s="334">
        <v>11</v>
      </c>
      <c r="F50" s="334">
        <v>320051</v>
      </c>
    </row>
    <row r="51" spans="1:6">
      <c r="A51" s="348" t="s">
        <v>42</v>
      </c>
      <c r="B51" s="348" t="s">
        <v>43</v>
      </c>
      <c r="C51" s="334">
        <v>7</v>
      </c>
      <c r="D51" s="334">
        <v>131658</v>
      </c>
      <c r="E51" s="334">
        <v>71</v>
      </c>
      <c r="F51" s="334">
        <v>802991</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0</v>
      </c>
      <c r="F54" s="334">
        <v>0</v>
      </c>
    </row>
    <row r="55" spans="1:6">
      <c r="A55" s="348" t="s">
        <v>46</v>
      </c>
      <c r="B55" s="348" t="s">
        <v>29</v>
      </c>
      <c r="C55" s="334">
        <v>0</v>
      </c>
      <c r="D55" s="334">
        <v>0</v>
      </c>
      <c r="E55" s="334">
        <v>0</v>
      </c>
      <c r="F55" s="334">
        <v>882259</v>
      </c>
    </row>
    <row r="56" spans="1:6">
      <c r="A56" s="348" t="s">
        <v>48</v>
      </c>
      <c r="B56" s="348" t="s">
        <v>29</v>
      </c>
      <c r="C56" s="334">
        <v>36</v>
      </c>
      <c r="D56" s="334">
        <v>934161</v>
      </c>
      <c r="E56" s="334">
        <v>113</v>
      </c>
      <c r="F56" s="334">
        <v>623909</v>
      </c>
    </row>
    <row r="57" spans="1:6">
      <c r="A57" s="348" t="s">
        <v>49</v>
      </c>
      <c r="B57" s="348" t="s">
        <v>50</v>
      </c>
      <c r="C57" s="334">
        <v>14</v>
      </c>
      <c r="D57" s="334">
        <v>371194</v>
      </c>
      <c r="E57" s="334">
        <v>60</v>
      </c>
      <c r="F57" s="334">
        <v>594046</v>
      </c>
    </row>
    <row r="58" spans="1:6">
      <c r="A58" s="348" t="s">
        <v>49</v>
      </c>
      <c r="B58" s="348" t="s">
        <v>51</v>
      </c>
      <c r="C58" s="334">
        <v>10</v>
      </c>
      <c r="D58" s="334">
        <v>966055</v>
      </c>
      <c r="E58" s="334">
        <v>27</v>
      </c>
      <c r="F58" s="334">
        <v>4537775</v>
      </c>
    </row>
    <row r="59" spans="1:6">
      <c r="A59" s="348" t="s">
        <v>49</v>
      </c>
      <c r="B59" s="348" t="s">
        <v>52</v>
      </c>
      <c r="C59" s="334">
        <v>47</v>
      </c>
      <c r="D59" s="334">
        <v>1793515</v>
      </c>
      <c r="E59" s="334">
        <v>146</v>
      </c>
      <c r="F59" s="334">
        <v>4589530</v>
      </c>
    </row>
    <row r="60" spans="1:6">
      <c r="A60" s="348" t="s">
        <v>49</v>
      </c>
      <c r="B60" s="348" t="s">
        <v>53</v>
      </c>
      <c r="C60" s="334">
        <v>15</v>
      </c>
      <c r="D60" s="334">
        <v>514770</v>
      </c>
      <c r="E60" s="334">
        <v>44</v>
      </c>
      <c r="F60" s="334">
        <v>877083</v>
      </c>
    </row>
    <row r="61" spans="1:6">
      <c r="A61" s="348" t="s">
        <v>49</v>
      </c>
      <c r="B61" s="348" t="s">
        <v>54</v>
      </c>
      <c r="C61" s="334">
        <v>81</v>
      </c>
      <c r="D61" s="334">
        <v>4081606</v>
      </c>
      <c r="E61" s="334">
        <v>286</v>
      </c>
      <c r="F61" s="334">
        <v>2692424</v>
      </c>
    </row>
    <row r="62" spans="1:6">
      <c r="A62" s="348" t="s">
        <v>49</v>
      </c>
      <c r="B62" s="348" t="s">
        <v>55</v>
      </c>
      <c r="C62" s="334">
        <v>5</v>
      </c>
      <c r="D62" s="334">
        <v>125662</v>
      </c>
      <c r="E62" s="334">
        <v>8</v>
      </c>
      <c r="F62" s="334">
        <v>55462</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0</v>
      </c>
      <c r="D65" s="334">
        <v>0</v>
      </c>
      <c r="E65" s="334">
        <v>0</v>
      </c>
      <c r="F65" s="334">
        <v>6383</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15</v>
      </c>
      <c r="F68" s="334">
        <v>102821</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70" t="s">
        <v>684</v>
      </c>
      <c r="D72" s="361">
        <v>2015</v>
      </c>
      <c r="E72" s="361">
        <v>2020</v>
      </c>
      <c r="F72" s="347"/>
    </row>
    <row r="73" spans="1:6">
      <c r="A73" s="348" t="s">
        <v>64</v>
      </c>
      <c r="B73" s="348" t="s">
        <v>666</v>
      </c>
      <c r="C73" s="1271" t="s">
        <v>668</v>
      </c>
      <c r="D73" s="476">
        <v>47241951</v>
      </c>
      <c r="E73" s="476">
        <v>41831154.393109255</v>
      </c>
    </row>
    <row r="74" spans="1:6">
      <c r="A74" s="348" t="s">
        <v>64</v>
      </c>
      <c r="B74" s="348" t="s">
        <v>667</v>
      </c>
      <c r="C74" s="1271" t="s">
        <v>669</v>
      </c>
      <c r="D74" s="476">
        <v>5583600.9391337065</v>
      </c>
      <c r="E74" s="476">
        <v>5171317.7665473046</v>
      </c>
    </row>
    <row r="75" spans="1:6">
      <c r="A75" s="348" t="s">
        <v>65</v>
      </c>
      <c r="B75" s="348" t="s">
        <v>666</v>
      </c>
      <c r="C75" s="1271" t="s">
        <v>670</v>
      </c>
      <c r="D75" s="476">
        <v>22997242</v>
      </c>
      <c r="E75" s="476">
        <v>21658746.052781355</v>
      </c>
    </row>
    <row r="76" spans="1:6">
      <c r="A76" s="348" t="s">
        <v>65</v>
      </c>
      <c r="B76" s="348" t="s">
        <v>667</v>
      </c>
      <c r="C76" s="1271" t="s">
        <v>671</v>
      </c>
      <c r="D76" s="476">
        <v>1328361.9391337063</v>
      </c>
      <c r="E76" s="476">
        <v>1153762.2398337156</v>
      </c>
    </row>
    <row r="77" spans="1:6">
      <c r="A77" s="348" t="s">
        <v>66</v>
      </c>
      <c r="B77" s="348" t="s">
        <v>666</v>
      </c>
      <c r="C77" s="1271" t="s">
        <v>672</v>
      </c>
      <c r="D77" s="476">
        <v>0</v>
      </c>
      <c r="E77" s="476">
        <v>0</v>
      </c>
    </row>
    <row r="78" spans="1:6">
      <c r="A78" s="341" t="s">
        <v>66</v>
      </c>
      <c r="B78" s="341" t="s">
        <v>667</v>
      </c>
      <c r="C78" s="341" t="s">
        <v>673</v>
      </c>
      <c r="D78" s="1272">
        <v>0</v>
      </c>
      <c r="E78" s="1272">
        <v>0</v>
      </c>
      <c r="F78" s="342"/>
    </row>
    <row r="79" spans="1:6">
      <c r="A79" s="362"/>
      <c r="B79" s="362"/>
    </row>
    <row r="80" spans="1:6" ht="15.75" thickBot="1">
      <c r="A80" s="362"/>
      <c r="B80" s="362"/>
    </row>
    <row r="81" spans="1:6" ht="20.25" thickBot="1">
      <c r="A81" s="336" t="s">
        <v>334</v>
      </c>
      <c r="B81" s="363" t="s">
        <v>394</v>
      </c>
      <c r="C81" s="337" t="s">
        <v>851</v>
      </c>
      <c r="D81" s="337"/>
      <c r="E81" s="337"/>
      <c r="F81" s="344"/>
    </row>
    <row r="82" spans="1:6" ht="16.5" thickTop="1" thickBot="1">
      <c r="A82" s="345" t="s">
        <v>335</v>
      </c>
      <c r="B82" s="361">
        <v>2015</v>
      </c>
      <c r="C82" s="361">
        <v>2020</v>
      </c>
      <c r="D82" s="346"/>
      <c r="E82" s="346"/>
      <c r="F82" s="347"/>
    </row>
    <row r="83" spans="1:6">
      <c r="A83" s="348" t="s">
        <v>336</v>
      </c>
      <c r="B83" s="476">
        <v>1017790.1217325875</v>
      </c>
      <c r="C83" s="476">
        <v>1017790.1217325875</v>
      </c>
    </row>
    <row r="84" spans="1:6">
      <c r="A84" s="341" t="s">
        <v>337</v>
      </c>
      <c r="B84" s="1272">
        <v>0</v>
      </c>
      <c r="C84" s="1272">
        <v>0</v>
      </c>
      <c r="D84" s="342"/>
      <c r="E84" s="342"/>
      <c r="F84" s="342"/>
    </row>
    <row r="85" spans="1:6">
      <c r="A85" s="362"/>
      <c r="B85" s="364"/>
    </row>
    <row r="86" spans="1:6" ht="15.75" thickBot="1">
      <c r="A86" s="343"/>
    </row>
    <row r="87" spans="1:6" ht="20.25" thickBot="1">
      <c r="A87" s="336" t="s">
        <v>67</v>
      </c>
      <c r="B87" s="337" t="s">
        <v>394</v>
      </c>
      <c r="C87" s="337" t="s">
        <v>852</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73">
        <v>0</v>
      </c>
    </row>
    <row r="91" spans="1:6">
      <c r="A91" s="348" t="s">
        <v>68</v>
      </c>
      <c r="B91" s="334">
        <v>3695.369439432855</v>
      </c>
    </row>
    <row r="92" spans="1:6">
      <c r="A92" s="341" t="s">
        <v>69</v>
      </c>
      <c r="B92" s="342">
        <v>1455.5636098759551</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508</v>
      </c>
    </row>
    <row r="98" spans="1:6">
      <c r="A98" s="348" t="s">
        <v>72</v>
      </c>
      <c r="B98" s="334">
        <v>0</v>
      </c>
    </row>
    <row r="99" spans="1:6">
      <c r="A99" s="348" t="s">
        <v>73</v>
      </c>
      <c r="B99" s="334">
        <v>84</v>
      </c>
    </row>
    <row r="100" spans="1:6">
      <c r="A100" s="348" t="s">
        <v>74</v>
      </c>
      <c r="B100" s="334">
        <v>438</v>
      </c>
    </row>
    <row r="101" spans="1:6">
      <c r="A101" s="348" t="s">
        <v>75</v>
      </c>
      <c r="B101" s="334">
        <v>54</v>
      </c>
    </row>
    <row r="102" spans="1:6">
      <c r="A102" s="348" t="s">
        <v>76</v>
      </c>
      <c r="B102" s="334">
        <v>49</v>
      </c>
    </row>
    <row r="103" spans="1:6">
      <c r="A103" s="348" t="s">
        <v>77</v>
      </c>
      <c r="B103" s="334">
        <v>114</v>
      </c>
    </row>
    <row r="104" spans="1:6">
      <c r="A104" s="348" t="s">
        <v>78</v>
      </c>
      <c r="B104" s="334">
        <v>3638</v>
      </c>
    </row>
    <row r="105" spans="1:6">
      <c r="A105" s="341" t="s">
        <v>79</v>
      </c>
      <c r="B105" s="341">
        <v>6</v>
      </c>
      <c r="C105" s="342"/>
      <c r="D105" s="342"/>
      <c r="E105" s="342"/>
      <c r="F105" s="342"/>
    </row>
    <row r="106" spans="1:6">
      <c r="A106" s="343"/>
    </row>
    <row r="107" spans="1:6" ht="15.75" thickBot="1">
      <c r="A107" s="343"/>
    </row>
    <row r="108" spans="1:6" ht="20.25" thickBot="1">
      <c r="A108" s="336" t="s">
        <v>648</v>
      </c>
      <c r="B108" s="337" t="s">
        <v>394</v>
      </c>
      <c r="C108" s="337" t="s">
        <v>853</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74" t="s">
        <v>650</v>
      </c>
      <c r="B111" s="1275">
        <v>0</v>
      </c>
      <c r="C111" s="1275"/>
      <c r="D111" s="1275"/>
      <c r="E111" s="1275"/>
      <c r="F111" s="1275"/>
    </row>
    <row r="112" spans="1:6">
      <c r="A112" s="348"/>
    </row>
    <row r="113" spans="1:6" ht="15.75" thickBot="1">
      <c r="A113" s="341"/>
      <c r="B113" s="342"/>
      <c r="C113" s="342"/>
      <c r="D113" s="342"/>
      <c r="E113" s="342"/>
      <c r="F113" s="342"/>
    </row>
    <row r="114" spans="1:6" ht="20.25" thickBot="1">
      <c r="A114" s="336" t="s">
        <v>80</v>
      </c>
      <c r="B114" s="337" t="s">
        <v>394</v>
      </c>
      <c r="C114" s="337" t="s">
        <v>854</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31</v>
      </c>
      <c r="C123" s="334">
        <v>50</v>
      </c>
    </row>
    <row r="124" spans="1:6">
      <c r="A124" s="341" t="s">
        <v>89</v>
      </c>
      <c r="B124" s="334">
        <v>1</v>
      </c>
      <c r="C124" s="334">
        <v>1</v>
      </c>
      <c r="D124" s="342"/>
      <c r="E124" s="342"/>
      <c r="F124" s="342"/>
    </row>
    <row r="125" spans="1:6">
      <c r="A125" s="362"/>
    </row>
    <row r="126" spans="1:6" ht="15.75" thickBot="1">
      <c r="A126" s="362"/>
    </row>
    <row r="127" spans="1:6" ht="20.25" thickBot="1">
      <c r="A127" s="336" t="s">
        <v>293</v>
      </c>
      <c r="B127" s="337" t="s">
        <v>394</v>
      </c>
      <c r="C127" s="337" t="s">
        <v>853</v>
      </c>
      <c r="D127" s="337"/>
      <c r="E127" s="337"/>
      <c r="F127" s="344"/>
    </row>
    <row r="128" spans="1:6" ht="16.5" thickTop="1" thickBot="1">
      <c r="A128" s="345" t="s">
        <v>4</v>
      </c>
      <c r="B128" s="346" t="s">
        <v>5</v>
      </c>
      <c r="C128" s="346"/>
      <c r="D128" s="346"/>
      <c r="E128" s="346"/>
      <c r="F128" s="347"/>
    </row>
    <row r="129" spans="1:6">
      <c r="A129" s="348" t="s">
        <v>294</v>
      </c>
      <c r="B129" s="334">
        <v>155</v>
      </c>
    </row>
    <row r="130" spans="1:6">
      <c r="A130" s="348" t="s">
        <v>295</v>
      </c>
      <c r="B130" s="334">
        <v>3</v>
      </c>
    </row>
    <row r="131" spans="1:6">
      <c r="A131" s="348" t="s">
        <v>296</v>
      </c>
      <c r="B131" s="334">
        <v>2</v>
      </c>
    </row>
    <row r="132" spans="1:6">
      <c r="A132" s="341" t="s">
        <v>297</v>
      </c>
      <c r="B132" s="342">
        <v>19</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705</v>
      </c>
      <c r="B2" s="536"/>
      <c r="E2" s="680"/>
      <c r="F2" s="680"/>
    </row>
    <row r="3" spans="1:12">
      <c r="A3" s="44"/>
      <c r="B3" s="536"/>
      <c r="E3" s="680"/>
      <c r="F3" s="680"/>
    </row>
    <row r="4" spans="1:12" ht="18">
      <c r="A4" s="137" t="s">
        <v>181</v>
      </c>
      <c r="B4" s="537" t="s">
        <v>388</v>
      </c>
      <c r="E4" s="680"/>
      <c r="F4" s="680"/>
    </row>
    <row r="5" spans="1:12" ht="21">
      <c r="A5" s="116" t="s">
        <v>183</v>
      </c>
      <c r="B5" s="538"/>
      <c r="E5" s="975"/>
      <c r="F5" s="976"/>
      <c r="G5" s="987"/>
      <c r="H5" s="987"/>
      <c r="I5" s="9"/>
      <c r="J5" s="9"/>
    </row>
    <row r="6" spans="1:12">
      <c r="A6" s="117" t="s">
        <v>184</v>
      </c>
      <c r="B6" s="539">
        <v>4.0513950503279288</v>
      </c>
      <c r="E6" s="977"/>
      <c r="F6" s="977"/>
      <c r="G6" s="988"/>
      <c r="H6" s="988"/>
      <c r="I6" s="10"/>
      <c r="J6" s="10"/>
      <c r="K6" s="10"/>
      <c r="L6" s="10"/>
    </row>
    <row r="7" spans="1:12">
      <c r="A7" s="117" t="s">
        <v>6</v>
      </c>
      <c r="B7" s="539">
        <v>148.75315600062214</v>
      </c>
      <c r="E7" s="680"/>
      <c r="F7" s="680"/>
      <c r="G7" s="989"/>
      <c r="H7" s="989"/>
      <c r="K7" s="10"/>
      <c r="L7" s="10"/>
    </row>
    <row r="8" spans="1:12">
      <c r="A8" s="117" t="s">
        <v>7</v>
      </c>
      <c r="B8" s="539">
        <v>93.652016709315419</v>
      </c>
      <c r="E8" s="680"/>
      <c r="F8" s="680"/>
      <c r="G8" s="989"/>
      <c r="H8" s="989"/>
      <c r="K8" s="10"/>
      <c r="L8" s="10"/>
    </row>
    <row r="9" spans="1:12">
      <c r="A9" s="117" t="s">
        <v>8</v>
      </c>
      <c r="B9" s="539">
        <v>31.990818879394283</v>
      </c>
      <c r="E9" s="977"/>
      <c r="F9" s="977"/>
      <c r="G9" s="988"/>
      <c r="H9" s="988"/>
      <c r="I9" s="10"/>
      <c r="J9" s="10"/>
      <c r="K9" s="10"/>
      <c r="L9" s="10"/>
    </row>
    <row r="10" spans="1:12">
      <c r="A10" s="117" t="s">
        <v>9</v>
      </c>
      <c r="B10" s="539">
        <v>48.052888540099751</v>
      </c>
      <c r="E10" s="978"/>
      <c r="F10" s="978"/>
      <c r="G10" s="990"/>
      <c r="H10" s="990"/>
      <c r="I10" s="11"/>
      <c r="J10" s="11"/>
      <c r="K10" s="10"/>
      <c r="L10" s="10"/>
    </row>
    <row r="11" spans="1:12">
      <c r="A11" s="117" t="s">
        <v>10</v>
      </c>
      <c r="B11" s="539">
        <v>48.479822138264574</v>
      </c>
      <c r="E11" s="680"/>
      <c r="F11" s="978"/>
      <c r="G11" s="990"/>
      <c r="H11" s="990"/>
      <c r="I11" s="11"/>
      <c r="J11" s="11"/>
      <c r="K11" s="10"/>
      <c r="L11" s="10"/>
    </row>
    <row r="12" spans="1:12">
      <c r="A12" s="118" t="s">
        <v>16</v>
      </c>
      <c r="B12" s="539">
        <v>8</v>
      </c>
      <c r="E12" s="978"/>
      <c r="F12" s="977"/>
      <c r="G12" s="988"/>
      <c r="H12" s="988"/>
      <c r="I12" s="10"/>
      <c r="J12" s="10"/>
      <c r="K12" s="10"/>
      <c r="L12" s="10"/>
    </row>
    <row r="13" spans="1:12">
      <c r="A13" s="118" t="s">
        <v>17</v>
      </c>
      <c r="B13" s="539">
        <v>5</v>
      </c>
      <c r="E13" s="977"/>
      <c r="F13" s="977"/>
      <c r="G13" s="988"/>
      <c r="H13" s="988"/>
      <c r="I13" s="10"/>
      <c r="J13" s="10"/>
      <c r="K13" s="10"/>
      <c r="L13" s="10"/>
    </row>
    <row r="14" spans="1:12">
      <c r="A14" s="118" t="s">
        <v>185</v>
      </c>
      <c r="B14" s="539">
        <v>1.5</v>
      </c>
      <c r="E14" s="977"/>
      <c r="F14" s="977"/>
      <c r="G14" s="988"/>
      <c r="H14" s="988"/>
      <c r="I14" s="10"/>
      <c r="J14" s="10"/>
      <c r="K14" s="10"/>
      <c r="L14" s="10"/>
    </row>
    <row r="15" spans="1:12">
      <c r="A15" s="118" t="s">
        <v>186</v>
      </c>
      <c r="B15" s="539">
        <v>18</v>
      </c>
      <c r="E15" s="977"/>
      <c r="F15" s="977"/>
      <c r="G15" s="988"/>
      <c r="H15" s="988"/>
      <c r="I15" s="10"/>
      <c r="J15" s="10"/>
      <c r="K15" s="10"/>
      <c r="L15" s="10"/>
    </row>
    <row r="16" spans="1:12">
      <c r="A16" s="118" t="s">
        <v>187</v>
      </c>
      <c r="B16" s="540">
        <v>10</v>
      </c>
      <c r="E16" s="977"/>
      <c r="F16" s="977"/>
      <c r="G16" s="988"/>
      <c r="H16" s="988"/>
      <c r="I16" s="10"/>
      <c r="J16" s="10"/>
      <c r="K16" s="10"/>
      <c r="L16" s="10"/>
    </row>
    <row r="17" spans="1:12" s="43" customFormat="1" ht="15.75" thickBot="1">
      <c r="A17" s="119"/>
      <c r="B17" s="541"/>
      <c r="E17" s="979"/>
      <c r="F17" s="979"/>
      <c r="G17" s="154"/>
      <c r="H17" s="154"/>
      <c r="I17" s="154"/>
      <c r="J17" s="154"/>
      <c r="K17" s="154"/>
      <c r="L17" s="154"/>
    </row>
    <row r="18" spans="1:12" s="43" customFormat="1" ht="15.75" thickBot="1">
      <c r="A18" s="195"/>
      <c r="B18" s="542"/>
      <c r="E18" s="979"/>
      <c r="F18" s="979"/>
      <c r="G18" s="154"/>
      <c r="H18" s="154"/>
      <c r="I18" s="154"/>
      <c r="J18" s="154"/>
      <c r="K18" s="154"/>
      <c r="L18" s="154"/>
    </row>
    <row r="19" spans="1:12" ht="18.75" thickBot="1">
      <c r="A19" s="121" t="s">
        <v>188</v>
      </c>
      <c r="B19" s="535"/>
      <c r="E19" s="977"/>
      <c r="F19" s="977"/>
      <c r="G19" s="10"/>
      <c r="H19" s="10"/>
      <c r="I19" s="10"/>
      <c r="J19" s="10"/>
      <c r="K19" s="10"/>
      <c r="L19" s="10"/>
    </row>
    <row r="20" spans="1:12">
      <c r="A20" s="44" t="s">
        <v>705</v>
      </c>
      <c r="B20" s="536"/>
      <c r="E20" s="977"/>
      <c r="F20" s="977"/>
      <c r="G20" s="10"/>
      <c r="H20" s="10"/>
      <c r="I20" s="10"/>
      <c r="J20" s="10"/>
      <c r="K20" s="10"/>
      <c r="L20" s="10"/>
    </row>
    <row r="21" spans="1:12">
      <c r="A21" s="44"/>
      <c r="B21" s="536"/>
      <c r="E21" s="977"/>
      <c r="F21" s="977"/>
      <c r="G21" s="10"/>
      <c r="H21" s="10"/>
      <c r="I21" s="10"/>
      <c r="J21" s="10"/>
      <c r="K21" s="10"/>
      <c r="L21" s="10"/>
    </row>
    <row r="22" spans="1:12" ht="18">
      <c r="A22" s="138" t="s">
        <v>181</v>
      </c>
      <c r="B22" s="543" t="s">
        <v>388</v>
      </c>
      <c r="E22" s="977"/>
      <c r="F22" s="977"/>
      <c r="G22" s="10"/>
      <c r="H22" s="10"/>
      <c r="I22" s="10"/>
      <c r="J22" s="10"/>
      <c r="K22" s="10"/>
      <c r="L22" s="10"/>
    </row>
    <row r="23" spans="1:12" s="72" customFormat="1">
      <c r="A23" s="118" t="s">
        <v>183</v>
      </c>
      <c r="B23" s="539">
        <v>10.419103875071656</v>
      </c>
      <c r="E23" s="980"/>
      <c r="F23" s="980"/>
      <c r="G23" s="991"/>
      <c r="H23" s="991"/>
    </row>
    <row r="24" spans="1:12">
      <c r="A24" s="117" t="s">
        <v>184</v>
      </c>
      <c r="B24" s="539">
        <v>4.2231090152811745</v>
      </c>
      <c r="E24" s="977"/>
      <c r="F24" s="977"/>
      <c r="G24" s="988"/>
      <c r="H24" s="988"/>
      <c r="I24" s="10"/>
      <c r="J24" s="10"/>
      <c r="K24" s="10"/>
      <c r="L24" s="10"/>
    </row>
    <row r="25" spans="1:12">
      <c r="A25" s="117" t="s">
        <v>6</v>
      </c>
      <c r="B25" s="539">
        <v>36.989208093097943</v>
      </c>
      <c r="E25" s="977"/>
      <c r="F25" s="977"/>
      <c r="G25" s="988"/>
      <c r="H25" s="988"/>
      <c r="I25" s="10"/>
      <c r="J25" s="10"/>
      <c r="K25" s="10"/>
      <c r="L25" s="10"/>
    </row>
    <row r="26" spans="1:12">
      <c r="A26" s="117" t="s">
        <v>7</v>
      </c>
      <c r="B26" s="539">
        <v>2.6373179855588216</v>
      </c>
      <c r="E26" s="977"/>
      <c r="F26" s="977"/>
      <c r="G26" s="988"/>
      <c r="H26" s="988"/>
      <c r="I26" s="10"/>
      <c r="J26" s="10"/>
      <c r="K26" s="10"/>
      <c r="L26" s="10"/>
    </row>
    <row r="27" spans="1:12">
      <c r="A27" s="117" t="s">
        <v>8</v>
      </c>
      <c r="B27" s="539">
        <v>1.2024103334607736</v>
      </c>
      <c r="E27" s="977"/>
      <c r="F27" s="977"/>
      <c r="G27" s="988"/>
      <c r="H27" s="988"/>
      <c r="I27" s="10"/>
      <c r="J27" s="10"/>
      <c r="K27" s="10"/>
      <c r="L27" s="10"/>
    </row>
    <row r="28" spans="1:12">
      <c r="A28" s="117" t="s">
        <v>9</v>
      </c>
      <c r="B28" s="539">
        <v>5.0815988132881253</v>
      </c>
      <c r="E28" s="977"/>
      <c r="F28" s="977"/>
      <c r="G28" s="988"/>
      <c r="H28" s="988"/>
      <c r="I28" s="10"/>
      <c r="J28" s="10"/>
      <c r="K28" s="10"/>
      <c r="L28" s="10"/>
    </row>
    <row r="29" spans="1:12">
      <c r="A29" s="117" t="s">
        <v>10</v>
      </c>
      <c r="B29" s="539">
        <v>3.8951527391088074</v>
      </c>
      <c r="E29" s="977"/>
      <c r="F29" s="977"/>
      <c r="G29" s="988"/>
      <c r="H29" s="988"/>
      <c r="I29" s="10"/>
      <c r="J29" s="10"/>
      <c r="K29" s="10"/>
      <c r="L29" s="10"/>
    </row>
    <row r="30" spans="1:12">
      <c r="A30" s="118" t="s">
        <v>185</v>
      </c>
      <c r="B30" s="539">
        <v>4.4617753102649891</v>
      </c>
      <c r="E30" s="977"/>
      <c r="F30" s="977"/>
      <c r="G30" s="988"/>
      <c r="H30" s="988"/>
      <c r="I30" s="10"/>
      <c r="J30" s="10"/>
      <c r="K30" s="10"/>
      <c r="L30" s="10"/>
    </row>
    <row r="31" spans="1:12">
      <c r="A31" s="117" t="s">
        <v>11</v>
      </c>
      <c r="B31" s="539">
        <v>1.6075002802320004</v>
      </c>
      <c r="E31" s="977"/>
      <c r="F31" s="977"/>
      <c r="G31" s="988"/>
      <c r="H31" s="988"/>
      <c r="I31" s="10"/>
      <c r="J31" s="10"/>
      <c r="K31" s="10"/>
      <c r="L31" s="10"/>
    </row>
    <row r="32" spans="1:12">
      <c r="A32" s="117" t="s">
        <v>12</v>
      </c>
      <c r="B32" s="539">
        <v>4.8225008406960006</v>
      </c>
      <c r="E32" s="977"/>
      <c r="F32" s="977"/>
      <c r="G32" s="988"/>
      <c r="H32" s="988"/>
      <c r="I32" s="10"/>
      <c r="J32" s="10"/>
      <c r="K32" s="10"/>
      <c r="L32" s="10"/>
    </row>
    <row r="33" spans="1:14">
      <c r="A33" s="117" t="s">
        <v>13</v>
      </c>
      <c r="B33" s="539">
        <v>6.3685027042560023</v>
      </c>
      <c r="E33" s="977"/>
      <c r="F33" s="977"/>
      <c r="G33" s="988"/>
      <c r="H33" s="988"/>
      <c r="I33" s="10"/>
      <c r="J33" s="10"/>
      <c r="K33" s="10"/>
      <c r="L33" s="10"/>
    </row>
    <row r="34" spans="1:14">
      <c r="A34" s="117" t="s">
        <v>14</v>
      </c>
      <c r="B34" s="539">
        <v>4.6362973013280016</v>
      </c>
      <c r="E34" s="977"/>
      <c r="F34" s="977"/>
      <c r="G34" s="988"/>
      <c r="H34" s="988"/>
      <c r="I34" s="10"/>
      <c r="J34" s="10"/>
      <c r="K34" s="10"/>
      <c r="L34" s="10"/>
    </row>
    <row r="35" spans="1:14">
      <c r="A35" s="117" t="s">
        <v>15</v>
      </c>
      <c r="B35" s="539">
        <v>12.338973989496003</v>
      </c>
      <c r="E35" s="977"/>
      <c r="F35" s="977"/>
      <c r="G35" s="988"/>
      <c r="H35" s="988"/>
      <c r="I35" s="10"/>
      <c r="J35" s="10"/>
      <c r="K35" s="10"/>
      <c r="L35" s="10"/>
    </row>
    <row r="36" spans="1:14">
      <c r="A36" s="118" t="s">
        <v>16</v>
      </c>
      <c r="B36" s="539">
        <v>0.19</v>
      </c>
      <c r="E36" s="977"/>
      <c r="F36" s="977"/>
      <c r="G36" s="988"/>
      <c r="H36" s="988"/>
      <c r="I36" s="10"/>
      <c r="J36" s="10"/>
      <c r="K36" s="10"/>
      <c r="L36" s="10"/>
    </row>
    <row r="37" spans="1:14">
      <c r="A37" s="118" t="s">
        <v>17</v>
      </c>
      <c r="B37" s="539">
        <v>0.13</v>
      </c>
      <c r="E37" s="680"/>
      <c r="F37" s="680"/>
      <c r="G37" s="989"/>
      <c r="H37" s="989"/>
    </row>
    <row r="38" spans="1:14">
      <c r="A38" s="118" t="s">
        <v>186</v>
      </c>
      <c r="B38" s="539">
        <v>1.5600000000000003</v>
      </c>
      <c r="E38" s="680"/>
      <c r="F38" s="680"/>
      <c r="G38" s="989"/>
      <c r="H38" s="989"/>
    </row>
    <row r="39" spans="1:14">
      <c r="A39" s="118" t="s">
        <v>187</v>
      </c>
      <c r="B39" s="539">
        <v>0.76</v>
      </c>
      <c r="E39" s="680"/>
      <c r="F39" s="680"/>
      <c r="G39" s="989"/>
      <c r="H39" s="989"/>
    </row>
    <row r="40" spans="1:14">
      <c r="A40" s="118" t="s">
        <v>18</v>
      </c>
      <c r="B40" s="540">
        <v>2.3666410874874599E-2</v>
      </c>
      <c r="E40" s="680"/>
      <c r="F40" s="680"/>
      <c r="G40" s="989"/>
      <c r="H40" s="989"/>
    </row>
    <row r="41" spans="1:14" ht="15.75" thickBot="1">
      <c r="A41" s="119"/>
      <c r="B41" s="544"/>
      <c r="E41" s="680"/>
      <c r="F41" s="680"/>
    </row>
    <row r="42" spans="1:14" s="43" customFormat="1" ht="15.75" thickBot="1">
      <c r="A42" s="196"/>
      <c r="B42" s="542"/>
      <c r="E42" s="981"/>
      <c r="F42" s="981"/>
      <c r="G42" s="197"/>
      <c r="H42" s="197"/>
      <c r="I42" s="197"/>
      <c r="J42" s="197"/>
      <c r="K42" s="197"/>
      <c r="L42" s="197"/>
      <c r="M42" s="197"/>
      <c r="N42" s="197"/>
    </row>
    <row r="43" spans="1:14" ht="15.75" thickBot="1">
      <c r="A43" s="121" t="s">
        <v>189</v>
      </c>
      <c r="B43" s="545"/>
      <c r="E43" s="680"/>
      <c r="F43" s="680"/>
    </row>
    <row r="44" spans="1:14">
      <c r="A44" s="44" t="s">
        <v>706</v>
      </c>
      <c r="B44" s="536"/>
      <c r="E44" s="680"/>
      <c r="F44" s="680"/>
    </row>
    <row r="45" spans="1:14">
      <c r="A45" s="44"/>
      <c r="B45" s="536"/>
      <c r="E45" s="680"/>
      <c r="F45" s="680"/>
    </row>
    <row r="46" spans="1:14" ht="18">
      <c r="A46" s="137" t="s">
        <v>190</v>
      </c>
      <c r="B46" s="537" t="s">
        <v>578</v>
      </c>
      <c r="E46" s="680"/>
      <c r="F46" s="680"/>
    </row>
    <row r="47" spans="1:14">
      <c r="A47" s="116" t="s">
        <v>191</v>
      </c>
      <c r="B47" s="546">
        <v>0.89674432482591948</v>
      </c>
      <c r="E47" s="680"/>
      <c r="F47" s="680"/>
    </row>
    <row r="48" spans="1:14">
      <c r="A48" s="118" t="s">
        <v>192</v>
      </c>
      <c r="B48" s="539">
        <v>0.91973434485529515</v>
      </c>
      <c r="E48" s="680"/>
      <c r="F48" s="680"/>
    </row>
    <row r="49" spans="1:12">
      <c r="A49" s="118" t="s">
        <v>185</v>
      </c>
      <c r="B49" s="539">
        <v>3.0877193202846927E-2</v>
      </c>
      <c r="E49" s="680"/>
      <c r="F49" s="680"/>
    </row>
    <row r="50" spans="1:12">
      <c r="A50" s="118" t="s">
        <v>18</v>
      </c>
      <c r="B50" s="539">
        <v>9.5501620569307048E-4</v>
      </c>
      <c r="E50" s="977"/>
      <c r="F50" s="977"/>
      <c r="G50" s="10"/>
      <c r="H50" s="10"/>
      <c r="I50" s="10"/>
      <c r="J50" s="10"/>
      <c r="K50" s="10"/>
      <c r="L50" s="10"/>
    </row>
    <row r="51" spans="1:12">
      <c r="A51" s="118" t="s">
        <v>16</v>
      </c>
      <c r="B51" s="539">
        <v>6.4577115766632142E-3</v>
      </c>
      <c r="E51" s="977"/>
      <c r="F51" s="977"/>
      <c r="G51" s="10"/>
      <c r="H51" s="10"/>
      <c r="I51" s="10"/>
      <c r="J51" s="10"/>
      <c r="K51" s="10"/>
      <c r="L51" s="10"/>
    </row>
    <row r="52" spans="1:12" ht="15.75" thickBot="1">
      <c r="A52" s="119" t="s">
        <v>127</v>
      </c>
      <c r="B52" s="547">
        <v>9.5369064624692981E-2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6" customWidth="1"/>
    <col min="3" max="3" width="70.28515625" style="552" customWidth="1"/>
  </cols>
  <sheetData>
    <row r="1" spans="1:3" s="334" customFormat="1" ht="15.75" thickBot="1">
      <c r="A1" s="391" t="s">
        <v>629</v>
      </c>
      <c r="B1" s="550"/>
      <c r="C1" s="551"/>
    </row>
    <row r="2" spans="1:3" s="334" customFormat="1">
      <c r="A2" s="395"/>
      <c r="B2" s="516"/>
      <c r="C2" s="553"/>
    </row>
    <row r="3" spans="1:3" s="334" customFormat="1">
      <c r="A3" s="393"/>
      <c r="B3" s="554">
        <v>2015</v>
      </c>
      <c r="C3" s="396" t="s">
        <v>182</v>
      </c>
    </row>
    <row r="4" spans="1:3">
      <c r="A4" s="120" t="s">
        <v>301</v>
      </c>
      <c r="B4" s="555">
        <f>4443371.28968977/1000</f>
        <v>4443.3712896897696</v>
      </c>
      <c r="C4" s="139" t="s">
        <v>707</v>
      </c>
    </row>
    <row r="5" spans="1:3" ht="15.75" thickBot="1">
      <c r="A5" s="1003" t="s">
        <v>628</v>
      </c>
      <c r="B5" s="1006">
        <v>673536</v>
      </c>
      <c r="C5" s="1007" t="s">
        <v>685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6">
        <v>310</v>
      </c>
    </row>
    <row r="5" spans="1:2" ht="18.75" thickBot="1">
      <c r="A5" s="115" t="s">
        <v>448</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template'!C23),0,'SEAP template'!C23)</f>
        <v>43670.962957772063</v>
      </c>
      <c r="C3" s="43" t="s">
        <v>170</v>
      </c>
      <c r="D3" s="43"/>
      <c r="E3" s="154"/>
      <c r="F3" s="43"/>
      <c r="G3" s="43"/>
      <c r="H3" s="43"/>
      <c r="I3" s="43"/>
      <c r="J3" s="43"/>
      <c r="K3" s="96"/>
    </row>
    <row r="4" spans="1:11">
      <c r="A4" s="383" t="s">
        <v>171</v>
      </c>
      <c r="B4" s="49">
        <f>IF(ISERROR('SEAP template'!B69),0,'SEAP template'!B69)</f>
        <v>5965.43304930881</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2">
        <v>0.221</v>
      </c>
      <c r="F6" s="43" t="s">
        <v>772</v>
      </c>
      <c r="G6" s="43" t="s">
        <v>786</v>
      </c>
      <c r="H6" s="43"/>
      <c r="I6" s="43"/>
      <c r="J6" s="43"/>
      <c r="K6" s="96"/>
    </row>
    <row r="7" spans="1:11">
      <c r="A7" s="383"/>
      <c r="B7" s="478"/>
      <c r="C7" s="43"/>
      <c r="D7" s="43"/>
      <c r="E7" s="43"/>
      <c r="F7" s="48"/>
      <c r="G7" s="43"/>
      <c r="H7" s="43"/>
      <c r="I7" s="43"/>
      <c r="J7" s="43"/>
      <c r="K7" s="96"/>
    </row>
    <row r="8" spans="1:11">
      <c r="A8" s="383"/>
      <c r="B8" s="478"/>
      <c r="C8" s="43"/>
      <c r="D8" s="43"/>
      <c r="E8" s="43"/>
      <c r="F8" s="48"/>
      <c r="G8" s="43"/>
      <c r="H8" s="1011"/>
      <c r="I8" s="155"/>
      <c r="J8" s="43"/>
      <c r="K8" s="96"/>
    </row>
    <row r="9" spans="1:11">
      <c r="A9" s="383" t="s">
        <v>175</v>
      </c>
      <c r="B9" s="49">
        <f>IF(ISERROR('SEAP template'!O69),0,'SEAP template'!O69)</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0.19081150369475375</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507</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684</v>
      </c>
      <c r="B1" s="959" t="s">
        <v>308</v>
      </c>
      <c r="C1" s="959" t="s">
        <v>312</v>
      </c>
      <c r="D1" s="959" t="s">
        <v>313</v>
      </c>
      <c r="E1" s="959" t="s">
        <v>314</v>
      </c>
      <c r="F1" s="959" t="s">
        <v>315</v>
      </c>
      <c r="H1" s="100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8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100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100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1008">
        <v>6.535574191220978E-9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3" t="s">
        <v>661</v>
      </c>
      <c r="B6" s="439" t="s">
        <v>689</v>
      </c>
      <c r="C6" s="440" t="s">
        <v>358</v>
      </c>
    </row>
    <row r="7" spans="1:3" s="334" customFormat="1">
      <c r="A7" s="993" t="s">
        <v>690</v>
      </c>
      <c r="B7" s="441" t="s">
        <v>605</v>
      </c>
      <c r="C7" s="442" t="s">
        <v>604</v>
      </c>
    </row>
    <row r="8" spans="1:3" s="334" customFormat="1">
      <c r="A8" s="471"/>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5">
        <v>2015</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1.4929826793249583</v>
      </c>
      <c r="E7" s="931">
        <v>0</v>
      </c>
      <c r="F7" s="932">
        <v>1.4929826793249583</v>
      </c>
      <c r="G7" s="931">
        <v>0</v>
      </c>
      <c r="H7" s="931">
        <v>0</v>
      </c>
      <c r="I7" s="931">
        <v>2.2239599999999999</v>
      </c>
      <c r="J7" s="931">
        <v>0.64249392195859678</v>
      </c>
      <c r="K7" s="931">
        <v>0</v>
      </c>
      <c r="L7" s="931">
        <v>61.818551205946157</v>
      </c>
      <c r="M7" s="931">
        <v>0</v>
      </c>
      <c r="N7" s="931">
        <v>0</v>
      </c>
      <c r="O7" s="931">
        <v>0</v>
      </c>
      <c r="P7" s="931">
        <v>0</v>
      </c>
      <c r="Q7" s="931">
        <v>0</v>
      </c>
      <c r="R7" s="932">
        <v>64.685005127904759</v>
      </c>
      <c r="S7" s="931">
        <v>85.35704737906579</v>
      </c>
      <c r="T7" s="931">
        <v>0</v>
      </c>
      <c r="U7" s="931">
        <v>0</v>
      </c>
      <c r="V7" s="932">
        <v>85.35704737906579</v>
      </c>
      <c r="W7" s="932">
        <v>151.53503518629549</v>
      </c>
      <c r="X7" s="931">
        <v>0</v>
      </c>
      <c r="Y7" s="931">
        <v>12.578701233401519</v>
      </c>
      <c r="Z7" s="931">
        <v>39.271671951616597</v>
      </c>
      <c r="AA7" s="933">
        <v>0</v>
      </c>
      <c r="AB7" s="933">
        <v>0</v>
      </c>
      <c r="AC7" s="932">
        <v>203.38540837131359</v>
      </c>
    </row>
    <row r="8" spans="1:29">
      <c r="A8" s="216" t="s">
        <v>156</v>
      </c>
      <c r="B8" s="217"/>
      <c r="C8" s="934">
        <v>0</v>
      </c>
      <c r="D8" s="934">
        <v>0</v>
      </c>
      <c r="E8" s="934">
        <v>0</v>
      </c>
      <c r="F8" s="935">
        <v>0</v>
      </c>
      <c r="G8" s="934">
        <v>0</v>
      </c>
      <c r="H8" s="934">
        <v>0</v>
      </c>
      <c r="I8" s="934">
        <v>0.76444869622711098</v>
      </c>
      <c r="J8" s="934">
        <v>2.5786619498267627E-3</v>
      </c>
      <c r="K8" s="934">
        <v>0</v>
      </c>
      <c r="L8" s="934">
        <v>11.081875675406158</v>
      </c>
      <c r="M8" s="934">
        <v>0</v>
      </c>
      <c r="N8" s="934">
        <v>0.1040954221070689</v>
      </c>
      <c r="O8" s="934">
        <v>0</v>
      </c>
      <c r="P8" s="934">
        <v>0</v>
      </c>
      <c r="Q8" s="934">
        <v>0</v>
      </c>
      <c r="R8" s="935">
        <v>11.952998455690164</v>
      </c>
      <c r="S8" s="934">
        <v>44.687300704032445</v>
      </c>
      <c r="T8" s="934">
        <v>0</v>
      </c>
      <c r="U8" s="934">
        <v>0</v>
      </c>
      <c r="V8" s="935">
        <v>44.687300704032445</v>
      </c>
      <c r="W8" s="935">
        <v>56.640299159722609</v>
      </c>
      <c r="X8" s="934">
        <v>1.8763489999999998</v>
      </c>
      <c r="Y8" s="934">
        <v>3.8313352907557636</v>
      </c>
      <c r="Z8" s="934">
        <v>43.418521127321455</v>
      </c>
      <c r="AA8" s="936">
        <v>0</v>
      </c>
      <c r="AB8" s="936">
        <v>0</v>
      </c>
      <c r="AC8" s="935">
        <v>105.76650457779984</v>
      </c>
    </row>
    <row r="9" spans="1:29">
      <c r="A9" s="3"/>
      <c r="B9" s="6" t="s">
        <v>157</v>
      </c>
      <c r="C9" s="937">
        <v>0</v>
      </c>
      <c r="D9" s="937">
        <v>0</v>
      </c>
      <c r="E9" s="937">
        <v>0</v>
      </c>
      <c r="F9" s="938">
        <v>0</v>
      </c>
      <c r="G9" s="937">
        <v>0</v>
      </c>
      <c r="H9" s="937">
        <v>0</v>
      </c>
      <c r="I9" s="937">
        <v>0.14846512464753758</v>
      </c>
      <c r="J9" s="937">
        <v>0</v>
      </c>
      <c r="K9" s="937">
        <v>0</v>
      </c>
      <c r="L9" s="937">
        <v>1.9290383250050698</v>
      </c>
      <c r="M9" s="937">
        <v>0</v>
      </c>
      <c r="N9" s="937">
        <v>0</v>
      </c>
      <c r="O9" s="937">
        <v>0</v>
      </c>
      <c r="P9" s="937">
        <v>0</v>
      </c>
      <c r="Q9" s="937">
        <v>0</v>
      </c>
      <c r="R9" s="938">
        <v>2.0775034496526072</v>
      </c>
      <c r="S9" s="937">
        <v>5.0185789356442578</v>
      </c>
      <c r="T9" s="937">
        <v>0</v>
      </c>
      <c r="U9" s="937">
        <v>0</v>
      </c>
      <c r="V9" s="938">
        <v>5.0185789356442578</v>
      </c>
      <c r="W9" s="938">
        <v>7.0960823852968655</v>
      </c>
      <c r="X9" s="937">
        <v>0</v>
      </c>
      <c r="Y9" s="937">
        <v>1.079887619E-3</v>
      </c>
      <c r="Z9" s="937">
        <v>4.4861756235177443</v>
      </c>
      <c r="AA9" s="939">
        <v>0</v>
      </c>
      <c r="AB9" s="939">
        <v>0</v>
      </c>
      <c r="AC9" s="938">
        <v>11.58333789643361</v>
      </c>
    </row>
    <row r="10" spans="1:29">
      <c r="A10" s="3"/>
      <c r="B10" s="6" t="s">
        <v>158</v>
      </c>
      <c r="C10" s="937">
        <v>0</v>
      </c>
      <c r="D10" s="937">
        <v>0</v>
      </c>
      <c r="E10" s="937">
        <v>0</v>
      </c>
      <c r="F10" s="938">
        <v>0</v>
      </c>
      <c r="G10" s="937">
        <v>0</v>
      </c>
      <c r="H10" s="937">
        <v>0</v>
      </c>
      <c r="I10" s="937">
        <v>4.3166764990654351E-4</v>
      </c>
      <c r="J10" s="937">
        <v>0</v>
      </c>
      <c r="K10" s="937">
        <v>0</v>
      </c>
      <c r="L10" s="937">
        <v>0.70245245729807482</v>
      </c>
      <c r="M10" s="937">
        <v>0</v>
      </c>
      <c r="N10" s="937">
        <v>0</v>
      </c>
      <c r="O10" s="937">
        <v>0</v>
      </c>
      <c r="P10" s="937">
        <v>0</v>
      </c>
      <c r="Q10" s="937">
        <v>0</v>
      </c>
      <c r="R10" s="938">
        <v>0.70288412494798136</v>
      </c>
      <c r="S10" s="937">
        <v>6.2827433506276238</v>
      </c>
      <c r="T10" s="937">
        <v>0</v>
      </c>
      <c r="U10" s="937">
        <v>0</v>
      </c>
      <c r="V10" s="938">
        <v>6.2827433506276238</v>
      </c>
      <c r="W10" s="938">
        <v>6.9856274755756047</v>
      </c>
      <c r="X10" s="937">
        <v>0</v>
      </c>
      <c r="Y10" s="937">
        <v>3.9601422399999996E-2</v>
      </c>
      <c r="Z10" s="937">
        <v>3.3716329294821543</v>
      </c>
      <c r="AA10" s="939">
        <v>0</v>
      </c>
      <c r="AB10" s="939">
        <v>0</v>
      </c>
      <c r="AC10" s="938">
        <v>10.396861827457759</v>
      </c>
    </row>
    <row r="11" spans="1:29">
      <c r="A11" s="3"/>
      <c r="B11" s="6" t="s">
        <v>159</v>
      </c>
      <c r="C11" s="937">
        <v>0</v>
      </c>
      <c r="D11" s="937">
        <v>0</v>
      </c>
      <c r="E11" s="937">
        <v>0</v>
      </c>
      <c r="F11" s="938">
        <v>0</v>
      </c>
      <c r="G11" s="937">
        <v>0</v>
      </c>
      <c r="H11" s="937">
        <v>0</v>
      </c>
      <c r="I11" s="937">
        <v>3.1396005940120637E-3</v>
      </c>
      <c r="J11" s="937">
        <v>0</v>
      </c>
      <c r="K11" s="937">
        <v>0</v>
      </c>
      <c r="L11" s="937">
        <v>0.8231353928033357</v>
      </c>
      <c r="M11" s="937">
        <v>0</v>
      </c>
      <c r="N11" s="937">
        <v>0</v>
      </c>
      <c r="O11" s="937">
        <v>0</v>
      </c>
      <c r="P11" s="937">
        <v>0</v>
      </c>
      <c r="Q11" s="937">
        <v>0</v>
      </c>
      <c r="R11" s="938">
        <v>0.82627499339734778</v>
      </c>
      <c r="S11" s="937">
        <v>6.7188938055703122</v>
      </c>
      <c r="T11" s="937">
        <v>0</v>
      </c>
      <c r="U11" s="937">
        <v>0</v>
      </c>
      <c r="V11" s="938">
        <v>6.7188938055703122</v>
      </c>
      <c r="W11" s="938">
        <v>7.5451687989676604</v>
      </c>
      <c r="X11" s="937">
        <v>0</v>
      </c>
      <c r="Y11" s="937">
        <v>3.3213180000000002E-3</v>
      </c>
      <c r="Z11" s="937">
        <v>1.7827661548692171</v>
      </c>
      <c r="AA11" s="939">
        <v>0</v>
      </c>
      <c r="AB11" s="939">
        <v>0</v>
      </c>
      <c r="AC11" s="938">
        <v>9.3312562718368781</v>
      </c>
    </row>
    <row r="12" spans="1:29">
      <c r="A12" s="3"/>
      <c r="B12" s="6" t="s">
        <v>160</v>
      </c>
      <c r="C12" s="937">
        <v>0</v>
      </c>
      <c r="D12" s="937">
        <v>0</v>
      </c>
      <c r="E12" s="937">
        <v>0</v>
      </c>
      <c r="F12" s="938">
        <v>0</v>
      </c>
      <c r="G12" s="937">
        <v>0</v>
      </c>
      <c r="H12" s="937">
        <v>0</v>
      </c>
      <c r="I12" s="937">
        <v>0.2200127233645168</v>
      </c>
      <c r="J12" s="937">
        <v>2.5786619498267627E-3</v>
      </c>
      <c r="K12" s="937">
        <v>0</v>
      </c>
      <c r="L12" s="937">
        <v>4.2853851873412188</v>
      </c>
      <c r="M12" s="937">
        <v>0</v>
      </c>
      <c r="N12" s="937">
        <v>0</v>
      </c>
      <c r="O12" s="937">
        <v>0</v>
      </c>
      <c r="P12" s="937">
        <v>0</v>
      </c>
      <c r="Q12" s="937">
        <v>0</v>
      </c>
      <c r="R12" s="938">
        <v>4.5079765726555623</v>
      </c>
      <c r="S12" s="937">
        <v>13.88867560093936</v>
      </c>
      <c r="T12" s="937">
        <v>0</v>
      </c>
      <c r="U12" s="937">
        <v>0</v>
      </c>
      <c r="V12" s="938">
        <v>13.88867560093936</v>
      </c>
      <c r="W12" s="938">
        <v>18.396652173594923</v>
      </c>
      <c r="X12" s="937">
        <v>0</v>
      </c>
      <c r="Y12" s="937">
        <v>1.6862706843630001E-2</v>
      </c>
      <c r="Z12" s="937">
        <v>16.806113157753899</v>
      </c>
      <c r="AA12" s="939">
        <v>0</v>
      </c>
      <c r="AB12" s="939">
        <v>0</v>
      </c>
      <c r="AC12" s="938">
        <v>35.219628038192454</v>
      </c>
    </row>
    <row r="13" spans="1:29">
      <c r="A13" s="3"/>
      <c r="B13" s="6" t="s">
        <v>161</v>
      </c>
      <c r="C13" s="937">
        <v>0</v>
      </c>
      <c r="D13" s="937">
        <v>0</v>
      </c>
      <c r="E13" s="937">
        <v>0</v>
      </c>
      <c r="F13" s="938">
        <v>0</v>
      </c>
      <c r="G13" s="937">
        <v>0</v>
      </c>
      <c r="H13" s="937">
        <v>0</v>
      </c>
      <c r="I13" s="937">
        <v>0.38523253116241429</v>
      </c>
      <c r="J13" s="937">
        <v>0</v>
      </c>
      <c r="K13" s="937">
        <v>0</v>
      </c>
      <c r="L13" s="937">
        <v>2.3937650608531347</v>
      </c>
      <c r="M13" s="937">
        <v>0</v>
      </c>
      <c r="N13" s="937">
        <v>0</v>
      </c>
      <c r="O13" s="937">
        <v>0</v>
      </c>
      <c r="P13" s="937">
        <v>0</v>
      </c>
      <c r="Q13" s="937">
        <v>0</v>
      </c>
      <c r="R13" s="938">
        <v>2.778997592015549</v>
      </c>
      <c r="S13" s="937">
        <v>8.3695813484690831</v>
      </c>
      <c r="T13" s="937">
        <v>0</v>
      </c>
      <c r="U13" s="937">
        <v>0</v>
      </c>
      <c r="V13" s="938">
        <v>8.3695813484690831</v>
      </c>
      <c r="W13" s="938">
        <v>11.148578940484633</v>
      </c>
      <c r="X13" s="937">
        <v>0</v>
      </c>
      <c r="Y13" s="937">
        <v>1.4485870999999999E-2</v>
      </c>
      <c r="Z13" s="937">
        <v>12.205763032688299</v>
      </c>
      <c r="AA13" s="939">
        <v>0</v>
      </c>
      <c r="AB13" s="939">
        <v>0</v>
      </c>
      <c r="AC13" s="938">
        <v>23.368827844172934</v>
      </c>
    </row>
    <row r="14" spans="1:29">
      <c r="A14" s="218"/>
      <c r="B14" s="219" t="s">
        <v>162</v>
      </c>
      <c r="C14" s="940">
        <v>0</v>
      </c>
      <c r="D14" s="940">
        <v>0</v>
      </c>
      <c r="E14" s="940">
        <v>0</v>
      </c>
      <c r="F14" s="941">
        <v>0</v>
      </c>
      <c r="G14" s="937">
        <v>0</v>
      </c>
      <c r="H14" s="937">
        <v>0</v>
      </c>
      <c r="I14" s="937">
        <v>7.1670488087237742E-3</v>
      </c>
      <c r="J14" s="937">
        <v>0</v>
      </c>
      <c r="K14" s="937">
        <v>0</v>
      </c>
      <c r="L14" s="937">
        <v>0.94809925210532353</v>
      </c>
      <c r="M14" s="937">
        <v>0</v>
      </c>
      <c r="N14" s="937">
        <v>0.1040954221070689</v>
      </c>
      <c r="O14" s="937">
        <v>0</v>
      </c>
      <c r="P14" s="937">
        <v>0</v>
      </c>
      <c r="Q14" s="937">
        <v>0</v>
      </c>
      <c r="R14" s="941">
        <v>1.0593617230211163</v>
      </c>
      <c r="S14" s="937">
        <v>4.4088276627818077</v>
      </c>
      <c r="T14" s="940">
        <v>0</v>
      </c>
      <c r="U14" s="940">
        <v>0</v>
      </c>
      <c r="V14" s="941">
        <v>4.4088276627818077</v>
      </c>
      <c r="W14" s="941">
        <v>5.4681893858029245</v>
      </c>
      <c r="X14" s="937">
        <v>1.8763489999999998</v>
      </c>
      <c r="Y14" s="937">
        <v>3.7559840848931336</v>
      </c>
      <c r="Z14" s="937">
        <v>4.7660702290101398</v>
      </c>
      <c r="AA14" s="942">
        <v>0</v>
      </c>
      <c r="AB14" s="942">
        <v>0</v>
      </c>
      <c r="AC14" s="941">
        <v>15.866592699706198</v>
      </c>
    </row>
    <row r="15" spans="1:29">
      <c r="A15" s="216" t="s">
        <v>163</v>
      </c>
      <c r="B15" s="220"/>
      <c r="C15" s="943">
        <v>0</v>
      </c>
      <c r="D15" s="943">
        <v>0.19343917840000008</v>
      </c>
      <c r="E15" s="943">
        <v>0.16806480000000013</v>
      </c>
      <c r="F15" s="943">
        <v>0.3615039784000002</v>
      </c>
      <c r="G15" s="943">
        <v>0</v>
      </c>
      <c r="H15" s="943">
        <v>0</v>
      </c>
      <c r="I15" s="943">
        <v>2.4200796840300405</v>
      </c>
      <c r="J15" s="943">
        <v>0.18831586442104797</v>
      </c>
      <c r="K15" s="943">
        <v>0</v>
      </c>
      <c r="L15" s="943">
        <v>9.1822405717342122</v>
      </c>
      <c r="M15" s="943">
        <v>0</v>
      </c>
      <c r="N15" s="943">
        <v>0.53652456753156952</v>
      </c>
      <c r="O15" s="943">
        <v>0</v>
      </c>
      <c r="P15" s="943">
        <v>0</v>
      </c>
      <c r="Q15" s="943">
        <v>0</v>
      </c>
      <c r="R15" s="943">
        <v>12.327160687716866</v>
      </c>
      <c r="S15" s="943">
        <v>31.652698741296245</v>
      </c>
      <c r="T15" s="943">
        <v>0</v>
      </c>
      <c r="U15" s="943">
        <v>0</v>
      </c>
      <c r="V15" s="943">
        <v>31.652698741296245</v>
      </c>
      <c r="W15" s="943">
        <v>44.341363407413112</v>
      </c>
      <c r="X15" s="943">
        <v>0</v>
      </c>
      <c r="Y15" s="943">
        <v>8.9791765668511214</v>
      </c>
      <c r="Z15" s="943">
        <v>44.590949286888645</v>
      </c>
      <c r="AA15" s="945">
        <v>0</v>
      </c>
      <c r="AB15" s="945">
        <v>0</v>
      </c>
      <c r="AC15" s="944">
        <v>97.911489261152866</v>
      </c>
    </row>
    <row r="16" spans="1:29">
      <c r="A16" s="5"/>
      <c r="B16" s="6" t="s">
        <v>35</v>
      </c>
      <c r="C16" s="946">
        <v>0</v>
      </c>
      <c r="D16" s="946">
        <v>0</v>
      </c>
      <c r="E16" s="946">
        <v>0</v>
      </c>
      <c r="F16" s="938">
        <v>0</v>
      </c>
      <c r="G16" s="946">
        <v>0</v>
      </c>
      <c r="H16" s="946">
        <v>0</v>
      </c>
      <c r="I16" s="946">
        <v>1.5080999999999998E-3</v>
      </c>
      <c r="J16" s="946">
        <v>0</v>
      </c>
      <c r="K16" s="946">
        <v>0</v>
      </c>
      <c r="L16" s="946">
        <v>6.7768586435859993E-2</v>
      </c>
      <c r="M16" s="946">
        <v>0</v>
      </c>
      <c r="N16" s="946">
        <v>1.8423510000000001E-2</v>
      </c>
      <c r="O16" s="946">
        <v>0</v>
      </c>
      <c r="P16" s="946">
        <v>0</v>
      </c>
      <c r="Q16" s="946">
        <v>0</v>
      </c>
      <c r="R16" s="938">
        <v>8.7700196435859995E-2</v>
      </c>
      <c r="S16" s="946">
        <v>0.33031616162024058</v>
      </c>
      <c r="T16" s="946">
        <v>0</v>
      </c>
      <c r="U16" s="946">
        <v>0</v>
      </c>
      <c r="V16" s="947">
        <v>0.33031616162024058</v>
      </c>
      <c r="W16" s="938">
        <v>0.4180163580561006</v>
      </c>
      <c r="X16" s="946">
        <v>0</v>
      </c>
      <c r="Y16" s="946">
        <v>0</v>
      </c>
      <c r="Z16" s="946">
        <v>0.69052132799999821</v>
      </c>
      <c r="AA16" s="939">
        <v>0</v>
      </c>
      <c r="AB16" s="939">
        <v>0</v>
      </c>
      <c r="AC16" s="938">
        <v>1.1085376860560987</v>
      </c>
    </row>
    <row r="17" spans="1:31">
      <c r="A17" s="5"/>
      <c r="B17" s="6" t="s">
        <v>38</v>
      </c>
      <c r="C17" s="946">
        <v>0</v>
      </c>
      <c r="D17" s="946">
        <v>0</v>
      </c>
      <c r="E17" s="946">
        <v>0.16806480000000013</v>
      </c>
      <c r="F17" s="938">
        <v>0.16806480000000013</v>
      </c>
      <c r="G17" s="946">
        <v>0</v>
      </c>
      <c r="H17" s="946">
        <v>0</v>
      </c>
      <c r="I17" s="946">
        <v>4.187761727E-3</v>
      </c>
      <c r="J17" s="946">
        <v>0</v>
      </c>
      <c r="K17" s="946">
        <v>0</v>
      </c>
      <c r="L17" s="946">
        <v>8.9212057588980015E-2</v>
      </c>
      <c r="M17" s="946">
        <v>0</v>
      </c>
      <c r="N17" s="946">
        <v>0</v>
      </c>
      <c r="O17" s="946">
        <v>0</v>
      </c>
      <c r="P17" s="946">
        <v>0</v>
      </c>
      <c r="Q17" s="946">
        <v>0</v>
      </c>
      <c r="R17" s="938">
        <v>9.3399819315980015E-2</v>
      </c>
      <c r="S17" s="946">
        <v>0.48841661584800011</v>
      </c>
      <c r="T17" s="946">
        <v>0</v>
      </c>
      <c r="U17" s="946">
        <v>0</v>
      </c>
      <c r="V17" s="947">
        <v>0.48841661584800011</v>
      </c>
      <c r="W17" s="938">
        <v>0.74988123516398031</v>
      </c>
      <c r="X17" s="946">
        <v>0</v>
      </c>
      <c r="Y17" s="946">
        <v>0</v>
      </c>
      <c r="Z17" s="946">
        <v>0.33713825760000127</v>
      </c>
      <c r="AA17" s="939">
        <v>0</v>
      </c>
      <c r="AB17" s="939">
        <v>0</v>
      </c>
      <c r="AC17" s="938">
        <v>1.0870194927639816</v>
      </c>
    </row>
    <row r="18" spans="1:31">
      <c r="A18" s="5"/>
      <c r="B18" s="6" t="s">
        <v>36</v>
      </c>
      <c r="C18" s="946">
        <v>0</v>
      </c>
      <c r="D18" s="946">
        <v>0</v>
      </c>
      <c r="E18" s="946">
        <v>0</v>
      </c>
      <c r="F18" s="938">
        <v>0</v>
      </c>
      <c r="G18" s="946">
        <v>0</v>
      </c>
      <c r="H18" s="946">
        <v>0</v>
      </c>
      <c r="I18" s="946">
        <v>6.1138272033187731E-2</v>
      </c>
      <c r="J18" s="946">
        <v>0</v>
      </c>
      <c r="K18" s="946">
        <v>0</v>
      </c>
      <c r="L18" s="946">
        <v>0.72735507723775938</v>
      </c>
      <c r="M18" s="946">
        <v>0</v>
      </c>
      <c r="N18" s="946">
        <v>1.4580914947284787E-2</v>
      </c>
      <c r="O18" s="946">
        <v>0</v>
      </c>
      <c r="P18" s="946">
        <v>0</v>
      </c>
      <c r="Q18" s="946">
        <v>0</v>
      </c>
      <c r="R18" s="938">
        <v>0.80307426421823191</v>
      </c>
      <c r="S18" s="946">
        <v>5.3257075122304656</v>
      </c>
      <c r="T18" s="946">
        <v>0</v>
      </c>
      <c r="U18" s="946">
        <v>0</v>
      </c>
      <c r="V18" s="947">
        <v>5.3257075122304656</v>
      </c>
      <c r="W18" s="938">
        <v>6.1287817764486974</v>
      </c>
      <c r="X18" s="946">
        <v>0</v>
      </c>
      <c r="Y18" s="946">
        <v>8.5157060279999988E-2</v>
      </c>
      <c r="Z18" s="946">
        <v>1.6990864910538126</v>
      </c>
      <c r="AA18" s="939">
        <v>0</v>
      </c>
      <c r="AB18" s="939">
        <v>0</v>
      </c>
      <c r="AC18" s="938">
        <v>7.9130253277825098</v>
      </c>
    </row>
    <row r="19" spans="1:31">
      <c r="A19" s="5"/>
      <c r="B19" s="6" t="s">
        <v>33</v>
      </c>
      <c r="C19" s="946">
        <v>0</v>
      </c>
      <c r="D19" s="946">
        <v>0</v>
      </c>
      <c r="E19" s="946">
        <v>0</v>
      </c>
      <c r="F19" s="938">
        <v>0</v>
      </c>
      <c r="G19" s="946">
        <v>0</v>
      </c>
      <c r="H19" s="946">
        <v>0</v>
      </c>
      <c r="I19" s="946">
        <v>2.1824399900561504</v>
      </c>
      <c r="J19" s="946">
        <v>0.18831586442104797</v>
      </c>
      <c r="K19" s="946">
        <v>0</v>
      </c>
      <c r="L19" s="946">
        <v>7.1568789401385189</v>
      </c>
      <c r="M19" s="946">
        <v>0</v>
      </c>
      <c r="N19" s="946">
        <v>0.20630048569270404</v>
      </c>
      <c r="O19" s="946">
        <v>0</v>
      </c>
      <c r="P19" s="946">
        <v>0</v>
      </c>
      <c r="Q19" s="946">
        <v>0</v>
      </c>
      <c r="R19" s="938">
        <v>9.7339352803084225</v>
      </c>
      <c r="S19" s="946">
        <v>6.441027061450141</v>
      </c>
      <c r="T19" s="946">
        <v>0</v>
      </c>
      <c r="U19" s="946">
        <v>0</v>
      </c>
      <c r="V19" s="947">
        <v>6.441027061450141</v>
      </c>
      <c r="W19" s="938">
        <v>16.174962341758565</v>
      </c>
      <c r="X19" s="946">
        <v>0</v>
      </c>
      <c r="Y19" s="946">
        <v>2.6747031446239999</v>
      </c>
      <c r="Z19" s="946">
        <v>8.5526391024131065</v>
      </c>
      <c r="AA19" s="939">
        <v>0</v>
      </c>
      <c r="AB19" s="939">
        <v>0</v>
      </c>
      <c r="AC19" s="938">
        <v>27.402304588795673</v>
      </c>
    </row>
    <row r="20" spans="1:31">
      <c r="A20" s="5"/>
      <c r="B20" s="6" t="s">
        <v>41</v>
      </c>
      <c r="C20" s="946">
        <v>0</v>
      </c>
      <c r="D20" s="946">
        <v>0</v>
      </c>
      <c r="E20" s="946">
        <v>0</v>
      </c>
      <c r="F20" s="938">
        <v>0</v>
      </c>
      <c r="G20" s="946">
        <v>0</v>
      </c>
      <c r="H20" s="946">
        <v>0</v>
      </c>
      <c r="I20" s="946">
        <v>5.4780452094109207E-2</v>
      </c>
      <c r="J20" s="946">
        <v>0</v>
      </c>
      <c r="K20" s="946">
        <v>0</v>
      </c>
      <c r="L20" s="946">
        <v>0.47861213564064325</v>
      </c>
      <c r="M20" s="946">
        <v>0</v>
      </c>
      <c r="N20" s="946">
        <v>9.0088094799999994E-3</v>
      </c>
      <c r="O20" s="946">
        <v>0</v>
      </c>
      <c r="P20" s="946">
        <v>0</v>
      </c>
      <c r="Q20" s="946">
        <v>0</v>
      </c>
      <c r="R20" s="938">
        <v>0.54240139721475256</v>
      </c>
      <c r="S20" s="946">
        <v>10.262513005960651</v>
      </c>
      <c r="T20" s="946">
        <v>0</v>
      </c>
      <c r="U20" s="946">
        <v>0</v>
      </c>
      <c r="V20" s="947">
        <v>10.262513005960651</v>
      </c>
      <c r="W20" s="938">
        <v>10.804914403175403</v>
      </c>
      <c r="X20" s="946">
        <v>0</v>
      </c>
      <c r="Y20" s="946">
        <v>0.80814495451976265</v>
      </c>
      <c r="Z20" s="946">
        <v>2.1548974499383249</v>
      </c>
      <c r="AA20" s="939">
        <v>0</v>
      </c>
      <c r="AB20" s="939">
        <v>0</v>
      </c>
      <c r="AC20" s="938">
        <v>13.767956807633491</v>
      </c>
    </row>
    <row r="21" spans="1:31">
      <c r="A21" s="5"/>
      <c r="B21" s="6" t="s">
        <v>40</v>
      </c>
      <c r="C21" s="946">
        <v>0</v>
      </c>
      <c r="D21" s="946">
        <v>0</v>
      </c>
      <c r="E21" s="946">
        <v>0</v>
      </c>
      <c r="F21" s="938">
        <v>0</v>
      </c>
      <c r="G21" s="946">
        <v>0</v>
      </c>
      <c r="H21" s="946">
        <v>0</v>
      </c>
      <c r="I21" s="946">
        <v>1.6927820408319288E-2</v>
      </c>
      <c r="J21" s="946">
        <v>0</v>
      </c>
      <c r="K21" s="946">
        <v>0</v>
      </c>
      <c r="L21" s="946">
        <v>0.12557121144127745</v>
      </c>
      <c r="M21" s="946">
        <v>0</v>
      </c>
      <c r="N21" s="946">
        <v>0.20133391732818626</v>
      </c>
      <c r="O21" s="946">
        <v>0</v>
      </c>
      <c r="P21" s="946">
        <v>0</v>
      </c>
      <c r="Q21" s="946">
        <v>0</v>
      </c>
      <c r="R21" s="938">
        <v>0.34383294917778295</v>
      </c>
      <c r="S21" s="946">
        <v>2.1181464164658594</v>
      </c>
      <c r="T21" s="946">
        <v>0</v>
      </c>
      <c r="U21" s="946">
        <v>0</v>
      </c>
      <c r="V21" s="947">
        <v>2.1181464164658594</v>
      </c>
      <c r="W21" s="938">
        <v>2.4619793656436424</v>
      </c>
      <c r="X21" s="946">
        <v>0</v>
      </c>
      <c r="Y21" s="946">
        <v>1.2393E-2</v>
      </c>
      <c r="Z21" s="946">
        <v>6.1661793012046822</v>
      </c>
      <c r="AA21" s="939">
        <v>0</v>
      </c>
      <c r="AB21" s="939">
        <v>0</v>
      </c>
      <c r="AC21" s="938">
        <v>8.6405516668483244</v>
      </c>
    </row>
    <row r="22" spans="1:31">
      <c r="A22" s="5"/>
      <c r="B22" s="6" t="s">
        <v>37</v>
      </c>
      <c r="C22" s="946">
        <v>0</v>
      </c>
      <c r="D22" s="946">
        <v>3.3090000000000619E-3</v>
      </c>
      <c r="E22" s="946">
        <v>0</v>
      </c>
      <c r="F22" s="938">
        <v>3.3090000000000619E-3</v>
      </c>
      <c r="G22" s="946">
        <v>0</v>
      </c>
      <c r="H22" s="946">
        <v>0</v>
      </c>
      <c r="I22" s="946">
        <v>6.0345343735897602E-2</v>
      </c>
      <c r="J22" s="946">
        <v>0</v>
      </c>
      <c r="K22" s="946">
        <v>0</v>
      </c>
      <c r="L22" s="946">
        <v>0.38076017370710402</v>
      </c>
      <c r="M22" s="946">
        <v>0</v>
      </c>
      <c r="N22" s="946">
        <v>8.2628930083394669E-2</v>
      </c>
      <c r="O22" s="946">
        <v>0</v>
      </c>
      <c r="P22" s="946">
        <v>0</v>
      </c>
      <c r="Q22" s="946">
        <v>0</v>
      </c>
      <c r="R22" s="938">
        <v>0.52373444752639631</v>
      </c>
      <c r="S22" s="946">
        <v>0.70477190120100808</v>
      </c>
      <c r="T22" s="946">
        <v>0</v>
      </c>
      <c r="U22" s="946">
        <v>0</v>
      </c>
      <c r="V22" s="947">
        <v>0.70477190120100808</v>
      </c>
      <c r="W22" s="938">
        <v>1.2318153487274044</v>
      </c>
      <c r="X22" s="946">
        <v>0</v>
      </c>
      <c r="Y22" s="946">
        <v>0</v>
      </c>
      <c r="Z22" s="946">
        <v>2.8401158445797829</v>
      </c>
      <c r="AA22" s="939">
        <v>0</v>
      </c>
      <c r="AB22" s="939">
        <v>0</v>
      </c>
      <c r="AC22" s="938">
        <v>4.0719311933071873</v>
      </c>
    </row>
    <row r="23" spans="1:31">
      <c r="A23" s="5"/>
      <c r="B23" s="6" t="s">
        <v>39</v>
      </c>
      <c r="C23" s="946">
        <v>0</v>
      </c>
      <c r="D23" s="946">
        <v>0.19013017840000002</v>
      </c>
      <c r="E23" s="946">
        <v>0</v>
      </c>
      <c r="F23" s="938">
        <v>0.19013017840000002</v>
      </c>
      <c r="G23" s="946">
        <v>0</v>
      </c>
      <c r="H23" s="946">
        <v>0</v>
      </c>
      <c r="I23" s="946">
        <v>1.2180430617196099E-2</v>
      </c>
      <c r="J23" s="946">
        <v>0</v>
      </c>
      <c r="K23" s="946">
        <v>0</v>
      </c>
      <c r="L23" s="946">
        <v>7.1380926332698158E-2</v>
      </c>
      <c r="M23" s="946">
        <v>0</v>
      </c>
      <c r="N23" s="946">
        <v>0</v>
      </c>
      <c r="O23" s="946">
        <v>0</v>
      </c>
      <c r="P23" s="946">
        <v>0</v>
      </c>
      <c r="Q23" s="946">
        <v>0</v>
      </c>
      <c r="R23" s="938">
        <v>8.356135694989425E-2</v>
      </c>
      <c r="S23" s="946">
        <v>0.37071793972367972</v>
      </c>
      <c r="T23" s="946">
        <v>0</v>
      </c>
      <c r="U23" s="946">
        <v>0</v>
      </c>
      <c r="V23" s="947">
        <v>0.37071793972367972</v>
      </c>
      <c r="W23" s="938">
        <v>0.64440947507357405</v>
      </c>
      <c r="X23" s="946">
        <v>0</v>
      </c>
      <c r="Y23" s="946">
        <v>5.1696862424513581</v>
      </c>
      <c r="Z23" s="946">
        <v>11.066638674201531</v>
      </c>
      <c r="AA23" s="939">
        <v>0</v>
      </c>
      <c r="AB23" s="939">
        <v>0</v>
      </c>
      <c r="AC23" s="938">
        <v>16.880734391726463</v>
      </c>
    </row>
    <row r="24" spans="1:31">
      <c r="A24" s="221"/>
      <c r="B24" s="219" t="s">
        <v>34</v>
      </c>
      <c r="C24" s="946">
        <v>0</v>
      </c>
      <c r="D24" s="946">
        <v>0</v>
      </c>
      <c r="E24" s="946">
        <v>0</v>
      </c>
      <c r="F24" s="938">
        <v>0</v>
      </c>
      <c r="G24" s="946">
        <v>0</v>
      </c>
      <c r="H24" s="946">
        <v>0</v>
      </c>
      <c r="I24" s="946">
        <v>2.6571513358180001E-2</v>
      </c>
      <c r="J24" s="946">
        <v>0</v>
      </c>
      <c r="K24" s="946">
        <v>0</v>
      </c>
      <c r="L24" s="946">
        <v>8.4701463211367983E-2</v>
      </c>
      <c r="M24" s="946">
        <v>0</v>
      </c>
      <c r="N24" s="946">
        <v>4.2479999999998075E-3</v>
      </c>
      <c r="O24" s="946">
        <v>0</v>
      </c>
      <c r="P24" s="946">
        <v>0</v>
      </c>
      <c r="Q24" s="946">
        <v>0</v>
      </c>
      <c r="R24" s="938">
        <v>0.1155209765695478</v>
      </c>
      <c r="S24" s="946">
        <v>5.6110821267961981</v>
      </c>
      <c r="T24" s="946">
        <v>0</v>
      </c>
      <c r="U24" s="946">
        <v>0</v>
      </c>
      <c r="V24" s="947">
        <v>5.6110821267961981</v>
      </c>
      <c r="W24" s="938">
        <v>5.7266031033657461</v>
      </c>
      <c r="X24" s="946">
        <v>0</v>
      </c>
      <c r="Y24" s="946">
        <v>0.22909216497599999</v>
      </c>
      <c r="Z24" s="946">
        <v>11.083732837897401</v>
      </c>
      <c r="AA24" s="939">
        <v>0</v>
      </c>
      <c r="AB24" s="939">
        <v>0</v>
      </c>
      <c r="AC24" s="938">
        <v>17.039428106239146</v>
      </c>
    </row>
    <row r="25" spans="1:31">
      <c r="A25" s="5" t="s">
        <v>659</v>
      </c>
      <c r="B25" s="128"/>
      <c r="C25" s="943">
        <v>0</v>
      </c>
      <c r="D25" s="943">
        <v>0.36754838452159339</v>
      </c>
      <c r="E25" s="943">
        <v>0</v>
      </c>
      <c r="F25" s="944">
        <v>0.36754838452159339</v>
      </c>
      <c r="G25" s="934">
        <v>0</v>
      </c>
      <c r="H25" s="934">
        <v>0</v>
      </c>
      <c r="I25" s="934">
        <v>6.5833912664878758E-2</v>
      </c>
      <c r="J25" s="934">
        <v>9.8111159713707263E-2</v>
      </c>
      <c r="K25" s="934">
        <v>0</v>
      </c>
      <c r="L25" s="934">
        <v>9.137929313167712</v>
      </c>
      <c r="M25" s="934">
        <v>0</v>
      </c>
      <c r="N25" s="934">
        <v>0.19403341828278278</v>
      </c>
      <c r="O25" s="934">
        <v>0</v>
      </c>
      <c r="P25" s="934">
        <v>0</v>
      </c>
      <c r="Q25" s="934">
        <v>0</v>
      </c>
      <c r="R25" s="944">
        <v>9.4959078038290805</v>
      </c>
      <c r="S25" s="934">
        <v>15.447935030220744</v>
      </c>
      <c r="T25" s="943">
        <v>0</v>
      </c>
      <c r="U25" s="943">
        <v>0</v>
      </c>
      <c r="V25" s="944">
        <v>15.447935030220744</v>
      </c>
      <c r="W25" s="944">
        <v>25.311391218571419</v>
      </c>
      <c r="X25" s="943">
        <v>0</v>
      </c>
      <c r="Y25" s="934">
        <v>3.5250777025727995</v>
      </c>
      <c r="Z25" s="936">
        <v>-2.0610465890427507</v>
      </c>
      <c r="AA25" s="945">
        <v>0</v>
      </c>
      <c r="AB25" s="945">
        <v>0</v>
      </c>
      <c r="AC25" s="935">
        <v>26.775422332101467</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2.553071552008769</v>
      </c>
      <c r="AA26" s="953"/>
      <c r="AB26" s="950"/>
      <c r="AC26" s="951"/>
      <c r="AE26" s="38"/>
    </row>
    <row r="27" spans="1:31">
      <c r="A27" s="3"/>
      <c r="B27" s="6" t="s">
        <v>164</v>
      </c>
      <c r="C27" s="937">
        <v>0</v>
      </c>
      <c r="D27" s="937">
        <v>6.4476425012852528E-2</v>
      </c>
      <c r="E27" s="937">
        <v>0</v>
      </c>
      <c r="F27" s="938">
        <v>6.4476425012852528E-2</v>
      </c>
      <c r="G27" s="937">
        <v>0</v>
      </c>
      <c r="H27" s="937">
        <v>0</v>
      </c>
      <c r="I27" s="937">
        <v>4.4539155351236495E-2</v>
      </c>
      <c r="J27" s="937">
        <v>6.2586324918953331E-4</v>
      </c>
      <c r="K27" s="937">
        <v>0</v>
      </c>
      <c r="L27" s="937">
        <v>5.5609339446082107</v>
      </c>
      <c r="M27" s="937">
        <v>0</v>
      </c>
      <c r="N27" s="937">
        <v>0</v>
      </c>
      <c r="O27" s="937">
        <v>0</v>
      </c>
      <c r="P27" s="937">
        <v>0</v>
      </c>
      <c r="Q27" s="937">
        <v>0</v>
      </c>
      <c r="R27" s="938">
        <v>5.6060989632086367</v>
      </c>
      <c r="S27" s="937">
        <v>0.22691084842530401</v>
      </c>
      <c r="T27" s="937">
        <v>0</v>
      </c>
      <c r="U27" s="937">
        <v>0</v>
      </c>
      <c r="V27" s="938">
        <v>0.22691084842530401</v>
      </c>
      <c r="W27" s="938">
        <v>5.8974862366467935</v>
      </c>
      <c r="X27" s="937">
        <v>0</v>
      </c>
      <c r="Y27" s="937">
        <v>1.2572373373727999</v>
      </c>
      <c r="Z27" s="937">
        <v>2.496900161019096</v>
      </c>
      <c r="AA27" s="939">
        <v>0</v>
      </c>
      <c r="AB27" s="939">
        <v>0</v>
      </c>
      <c r="AC27" s="938">
        <v>9.6516237350386902</v>
      </c>
    </row>
    <row r="28" spans="1:31">
      <c r="A28" s="3"/>
      <c r="B28" s="6" t="s">
        <v>165</v>
      </c>
      <c r="C28" s="937">
        <v>0</v>
      </c>
      <c r="D28" s="937">
        <v>2.8369394181579707E-4</v>
      </c>
      <c r="E28" s="937">
        <v>0</v>
      </c>
      <c r="F28" s="938">
        <v>2.8369394181579707E-4</v>
      </c>
      <c r="G28" s="937">
        <v>0</v>
      </c>
      <c r="H28" s="937">
        <v>0</v>
      </c>
      <c r="I28" s="937">
        <v>1.6188867916591078E-3</v>
      </c>
      <c r="J28" s="937">
        <v>4.9088732644940599E-4</v>
      </c>
      <c r="K28" s="937">
        <v>0</v>
      </c>
      <c r="L28" s="937">
        <v>1.9959635946355427</v>
      </c>
      <c r="M28" s="937">
        <v>0</v>
      </c>
      <c r="N28" s="937">
        <v>0</v>
      </c>
      <c r="O28" s="937">
        <v>0</v>
      </c>
      <c r="P28" s="937">
        <v>0</v>
      </c>
      <c r="Q28" s="937">
        <v>0</v>
      </c>
      <c r="R28" s="938">
        <v>1.9980733687536512</v>
      </c>
      <c r="S28" s="937">
        <v>0.2468938253688</v>
      </c>
      <c r="T28" s="937">
        <v>0</v>
      </c>
      <c r="U28" s="937">
        <v>0</v>
      </c>
      <c r="V28" s="938">
        <v>0.2468938253688</v>
      </c>
      <c r="W28" s="938">
        <v>2.245250888064267</v>
      </c>
      <c r="X28" s="937">
        <v>0</v>
      </c>
      <c r="Y28" s="937">
        <v>1.8958881773317997</v>
      </c>
      <c r="Z28" s="937">
        <v>6.7123015838887856E-2</v>
      </c>
      <c r="AA28" s="939">
        <v>0</v>
      </c>
      <c r="AB28" s="939">
        <v>0</v>
      </c>
      <c r="AC28" s="938">
        <v>4.2082620812349543</v>
      </c>
    </row>
    <row r="29" spans="1:31">
      <c r="A29" s="3"/>
      <c r="B29" s="6" t="s">
        <v>166</v>
      </c>
      <c r="C29" s="937">
        <v>0</v>
      </c>
      <c r="D29" s="937">
        <v>0.30278826556692506</v>
      </c>
      <c r="E29" s="937">
        <v>0</v>
      </c>
      <c r="F29" s="938">
        <v>0.30278826556692506</v>
      </c>
      <c r="G29" s="937">
        <v>0</v>
      </c>
      <c r="H29" s="937">
        <v>0</v>
      </c>
      <c r="I29" s="937">
        <v>1.1374946424292169E-2</v>
      </c>
      <c r="J29" s="937">
        <v>1.0973361729954556E-3</v>
      </c>
      <c r="K29" s="937">
        <v>0</v>
      </c>
      <c r="L29" s="937">
        <v>0.61130203309669995</v>
      </c>
      <c r="M29" s="937">
        <v>0</v>
      </c>
      <c r="N29" s="937">
        <v>0.18866219838654458</v>
      </c>
      <c r="O29" s="937">
        <v>0</v>
      </c>
      <c r="P29" s="937">
        <v>0</v>
      </c>
      <c r="Q29" s="937">
        <v>0</v>
      </c>
      <c r="R29" s="938">
        <v>0.81243651408053208</v>
      </c>
      <c r="S29" s="937">
        <v>14.97413035642664</v>
      </c>
      <c r="T29" s="937">
        <v>0</v>
      </c>
      <c r="U29" s="937">
        <v>0</v>
      </c>
      <c r="V29" s="938">
        <v>14.97413035642664</v>
      </c>
      <c r="W29" s="938">
        <v>16.089355136074097</v>
      </c>
      <c r="X29" s="937">
        <v>0</v>
      </c>
      <c r="Y29" s="937">
        <v>0.37184570850819992</v>
      </c>
      <c r="Z29" s="937">
        <v>-5.6729383426217348</v>
      </c>
      <c r="AA29" s="939">
        <v>0</v>
      </c>
      <c r="AB29" s="939">
        <v>0</v>
      </c>
      <c r="AC29" s="938">
        <v>10.788262501960563</v>
      </c>
    </row>
    <row r="30" spans="1:31">
      <c r="A30" s="3"/>
      <c r="B30" s="6" t="s">
        <v>167</v>
      </c>
      <c r="C30" s="937">
        <v>0</v>
      </c>
      <c r="D30" s="937">
        <v>0</v>
      </c>
      <c r="E30" s="937">
        <v>0</v>
      </c>
      <c r="F30" s="938">
        <v>0</v>
      </c>
      <c r="G30" s="937">
        <v>0</v>
      </c>
      <c r="H30" s="937">
        <v>0</v>
      </c>
      <c r="I30" s="937">
        <v>8.2991664105939913E-3</v>
      </c>
      <c r="J30" s="937">
        <v>6.1016075413733821E-3</v>
      </c>
      <c r="K30" s="937">
        <v>0</v>
      </c>
      <c r="L30" s="937">
        <v>0.95949955109545859</v>
      </c>
      <c r="M30" s="937">
        <v>0</v>
      </c>
      <c r="N30" s="937">
        <v>5.3712198962382182E-3</v>
      </c>
      <c r="O30" s="937">
        <v>0</v>
      </c>
      <c r="P30" s="937">
        <v>0</v>
      </c>
      <c r="Q30" s="937">
        <v>0</v>
      </c>
      <c r="R30" s="938">
        <v>0.9792715449436642</v>
      </c>
      <c r="S30" s="937">
        <v>0</v>
      </c>
      <c r="T30" s="937">
        <v>0</v>
      </c>
      <c r="U30" s="937">
        <v>0</v>
      </c>
      <c r="V30" s="938">
        <v>0</v>
      </c>
      <c r="W30" s="938">
        <v>0.9792715449436642</v>
      </c>
      <c r="X30" s="937">
        <v>0</v>
      </c>
      <c r="Y30" s="937">
        <v>1.0647935999999999E-4</v>
      </c>
      <c r="Z30" s="937">
        <v>1.0478685767209999</v>
      </c>
      <c r="AA30" s="939">
        <v>0</v>
      </c>
      <c r="AB30" s="939">
        <v>0</v>
      </c>
      <c r="AC30" s="938">
        <v>2.0272466010246641</v>
      </c>
    </row>
    <row r="31" spans="1:31">
      <c r="A31" s="3"/>
      <c r="B31" s="6" t="s">
        <v>168</v>
      </c>
      <c r="C31" s="937">
        <v>0</v>
      </c>
      <c r="D31" s="937">
        <v>0</v>
      </c>
      <c r="E31" s="937">
        <v>0</v>
      </c>
      <c r="F31" s="938">
        <v>0</v>
      </c>
      <c r="G31" s="937">
        <v>0</v>
      </c>
      <c r="H31" s="937">
        <v>0</v>
      </c>
      <c r="I31" s="937">
        <v>1.7576870969999998E-6</v>
      </c>
      <c r="J31" s="937">
        <v>8.6829831279295638E-2</v>
      </c>
      <c r="K31" s="937">
        <v>0</v>
      </c>
      <c r="L31" s="937">
        <v>6.8157765275399856E-3</v>
      </c>
      <c r="M31" s="937">
        <v>0</v>
      </c>
      <c r="N31" s="937">
        <v>0</v>
      </c>
      <c r="O31" s="937">
        <v>0</v>
      </c>
      <c r="P31" s="937">
        <v>0</v>
      </c>
      <c r="Q31" s="937">
        <v>0</v>
      </c>
      <c r="R31" s="938">
        <v>9.3647365493932613E-2</v>
      </c>
      <c r="S31" s="937">
        <v>0</v>
      </c>
      <c r="T31" s="937">
        <v>0</v>
      </c>
      <c r="U31" s="937">
        <v>0</v>
      </c>
      <c r="V31" s="938">
        <v>0</v>
      </c>
      <c r="W31" s="938">
        <v>9.3647365493932613E-2</v>
      </c>
      <c r="X31" s="937">
        <v>0</v>
      </c>
      <c r="Y31" s="937">
        <v>0</v>
      </c>
      <c r="Z31" s="937">
        <v>0</v>
      </c>
      <c r="AA31" s="939">
        <v>0</v>
      </c>
      <c r="AB31" s="939">
        <v>0</v>
      </c>
      <c r="AC31" s="938">
        <v>9.3647365493932613E-2</v>
      </c>
    </row>
    <row r="32" spans="1:31">
      <c r="A32" s="4"/>
      <c r="B32" s="127" t="s">
        <v>169</v>
      </c>
      <c r="C32" s="955">
        <v>0</v>
      </c>
      <c r="D32" s="955">
        <v>0</v>
      </c>
      <c r="E32" s="955">
        <v>0</v>
      </c>
      <c r="F32" s="954">
        <v>0</v>
      </c>
      <c r="G32" s="955">
        <v>0</v>
      </c>
      <c r="H32" s="955">
        <v>0</v>
      </c>
      <c r="I32" s="955">
        <v>0</v>
      </c>
      <c r="J32" s="955">
        <v>2.96563414440384E-3</v>
      </c>
      <c r="K32" s="955">
        <v>0</v>
      </c>
      <c r="L32" s="955">
        <v>3.4144132042593003E-3</v>
      </c>
      <c r="M32" s="955">
        <v>0</v>
      </c>
      <c r="N32" s="955">
        <v>0</v>
      </c>
      <c r="O32" s="955">
        <v>0</v>
      </c>
      <c r="P32" s="955">
        <v>0</v>
      </c>
      <c r="Q32" s="955">
        <v>0</v>
      </c>
      <c r="R32" s="954">
        <v>6.3800473486631398E-3</v>
      </c>
      <c r="S32" s="955">
        <v>0</v>
      </c>
      <c r="T32" s="955">
        <v>0</v>
      </c>
      <c r="U32" s="955">
        <v>0</v>
      </c>
      <c r="V32" s="954">
        <v>0</v>
      </c>
      <c r="W32" s="954">
        <v>6.3800473486631398E-3</v>
      </c>
      <c r="X32" s="955">
        <v>0</v>
      </c>
      <c r="Y32" s="955">
        <v>0</v>
      </c>
      <c r="Z32" s="955">
        <v>0</v>
      </c>
      <c r="AA32" s="956">
        <v>0</v>
      </c>
      <c r="AB32" s="956">
        <v>0</v>
      </c>
      <c r="AC32" s="954">
        <v>6.3800473486631398E-3</v>
      </c>
    </row>
    <row r="35" spans="5:8">
      <c r="E35" s="998"/>
      <c r="F35" s="998"/>
      <c r="G35" s="998"/>
      <c r="H35" s="998"/>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474</v>
      </c>
      <c r="B2" s="1182"/>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3" t="s">
        <v>194</v>
      </c>
      <c r="B1" s="1184" t="s">
        <v>195</v>
      </c>
      <c r="C1" s="1185"/>
      <c r="D1" s="1185"/>
      <c r="E1" s="1185"/>
      <c r="F1" s="1185"/>
      <c r="G1" s="1185"/>
      <c r="H1" s="1185"/>
      <c r="I1" s="1185"/>
      <c r="J1" s="1185"/>
      <c r="K1" s="1185"/>
      <c r="L1" s="1185"/>
      <c r="M1" s="1185"/>
      <c r="N1" s="1185"/>
      <c r="O1" s="1185"/>
      <c r="P1" s="1185"/>
    </row>
    <row r="2" spans="1:16" s="334"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4"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882.25900000000001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882.25900000000001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0.19081150369475375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168.34516643822974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3" t="s">
        <v>155</v>
      </c>
      <c r="B1" s="1184" t="s">
        <v>195</v>
      </c>
      <c r="C1" s="1185"/>
      <c r="D1" s="1185"/>
      <c r="E1" s="1185"/>
      <c r="F1" s="1185"/>
      <c r="G1" s="1185"/>
      <c r="H1" s="1185"/>
      <c r="I1" s="1185"/>
      <c r="J1" s="1185"/>
      <c r="K1" s="1185"/>
      <c r="L1" s="1185"/>
      <c r="M1" s="1185"/>
      <c r="N1" s="1185"/>
      <c r="O1" s="1185"/>
      <c r="P1" s="1185"/>
    </row>
    <row r="2" spans="1:16" s="334"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4"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22666.006000000001</v>
      </c>
      <c r="C5" s="17">
        <f>IF(ISERROR('Eigen informatie GS &amp; warmtenet'!B57),0,'Eigen informatie GS &amp; warmtenet'!B57)</f>
        <v>0</v>
      </c>
      <c r="D5" s="30">
        <f>(SUM(HH_hh_gas_kWh,HH_rest_gas_kWh)/1000)*0.902</f>
        <v>30984.662434000002</v>
      </c>
      <c r="E5" s="17">
        <f>B46*B57</f>
        <v>4084.7905352688581</v>
      </c>
      <c r="F5" s="17">
        <f>B51*B62</f>
        <v>55563.401035948707</v>
      </c>
      <c r="G5" s="18"/>
      <c r="H5" s="17"/>
      <c r="I5" s="17"/>
      <c r="J5" s="17">
        <f>B50*B61+C50*C61</f>
        <v>0</v>
      </c>
      <c r="K5" s="17"/>
      <c r="L5" s="17"/>
      <c r="M5" s="17"/>
      <c r="N5" s="17">
        <f>B48*B59+C48*C59</f>
        <v>7457.8336421118411</v>
      </c>
      <c r="O5" s="17">
        <f>B69*B70*B71</f>
        <v>322.04666666666668</v>
      </c>
      <c r="P5" s="17">
        <f>B77*B78*B79/1000-B77*B78*B79/1000/B80</f>
        <v>972.4</v>
      </c>
    </row>
    <row r="6" spans="1:16">
      <c r="A6" s="16" t="s">
        <v>624</v>
      </c>
      <c r="B6" s="843">
        <f>kWh_PV_kleiner_dan_10kW</f>
        <v>3695.369439432855</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26361.375439432857</v>
      </c>
      <c r="C8" s="21">
        <f>C5</f>
        <v>0</v>
      </c>
      <c r="D8" s="21">
        <f>D5</f>
        <v>30984.662434000002</v>
      </c>
      <c r="E8" s="21">
        <f>E5</f>
        <v>4084.7905352688581</v>
      </c>
      <c r="F8" s="21">
        <f>F5</f>
        <v>55563.401035948707</v>
      </c>
      <c r="G8" s="21"/>
      <c r="H8" s="21"/>
      <c r="I8" s="21"/>
      <c r="J8" s="21">
        <f>J5</f>
        <v>0</v>
      </c>
      <c r="K8" s="21"/>
      <c r="L8" s="21">
        <f>L5</f>
        <v>0</v>
      </c>
      <c r="M8" s="21">
        <f>M5</f>
        <v>0</v>
      </c>
      <c r="N8" s="21">
        <f>N5</f>
        <v>7457.8336421118411</v>
      </c>
      <c r="O8" s="21">
        <f>O5</f>
        <v>322.04666666666668</v>
      </c>
      <c r="P8" s="21">
        <f>P5</f>
        <v>972.4</v>
      </c>
    </row>
    <row r="9" spans="1:16">
      <c r="B9" s="19"/>
      <c r="C9" s="19"/>
      <c r="D9" s="258"/>
      <c r="E9" s="19"/>
      <c r="F9" s="19"/>
      <c r="G9" s="19"/>
      <c r="H9" s="19"/>
      <c r="I9" s="19"/>
      <c r="J9" s="19"/>
      <c r="K9" s="19"/>
      <c r="L9" s="19"/>
      <c r="M9" s="19"/>
      <c r="N9" s="19"/>
      <c r="O9" s="19"/>
      <c r="P9" s="19"/>
    </row>
    <row r="10" spans="1:16">
      <c r="A10" s="24" t="s">
        <v>214</v>
      </c>
      <c r="B10" s="25">
        <f ca="1">'EF ele_warmte'!B12</f>
        <v>0.19081150369475375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5030.0536870601336</v>
      </c>
      <c r="C12" s="23">
        <f ca="1">C10*C8</f>
        <v>0</v>
      </c>
      <c r="D12" s="23">
        <f>D8*D10</f>
        <v>6258.9018116680008</v>
      </c>
      <c r="E12" s="23">
        <f>E10*E8</f>
        <v>927.24745150603087</v>
      </c>
      <c r="F12" s="23">
        <f>F10*F8</f>
        <v>14835.428076598306</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508</v>
      </c>
      <c r="C18" s="166" t="s">
        <v>111</v>
      </c>
      <c r="D18" s="228"/>
      <c r="E18" s="15"/>
    </row>
    <row r="19" spans="1:7">
      <c r="A19" s="171" t="s">
        <v>72</v>
      </c>
      <c r="B19" s="37">
        <f>aantalw2001_ander</f>
        <v>0</v>
      </c>
      <c r="C19" s="166" t="s">
        <v>111</v>
      </c>
      <c r="D19" s="229"/>
      <c r="E19" s="15"/>
    </row>
    <row r="20" spans="1:7">
      <c r="A20" s="171" t="s">
        <v>73</v>
      </c>
      <c r="B20" s="37">
        <f>aantalw2001_propaan</f>
        <v>84</v>
      </c>
      <c r="C20" s="167">
        <f>IF(ISERROR(B20/SUM($B$20,$B$21,$B$22)*100),0,B20/SUM($B$20,$B$21,$B$22)*100)</f>
        <v>14.583333333333334</v>
      </c>
      <c r="D20" s="229"/>
      <c r="E20" s="15"/>
    </row>
    <row r="21" spans="1:7">
      <c r="A21" s="171" t="s">
        <v>74</v>
      </c>
      <c r="B21" s="37">
        <f>aantalw2001_elektriciteit</f>
        <v>438</v>
      </c>
      <c r="C21" s="167">
        <f>IF(ISERROR(B21/SUM($B$20,$B$21,$B$22)*100),0,B21/SUM($B$20,$B$21,$B$22)*100)</f>
        <v>76.041666666666657</v>
      </c>
      <c r="D21" s="229"/>
      <c r="E21" s="15"/>
    </row>
    <row r="22" spans="1:7">
      <c r="A22" s="171" t="s">
        <v>75</v>
      </c>
      <c r="B22" s="37">
        <f>aantalw2001_hout</f>
        <v>54</v>
      </c>
      <c r="C22" s="167">
        <f>IF(ISERROR(B22/SUM($B$20,$B$21,$B$22)*100),0,B22/SUM($B$20,$B$21,$B$22)*100)</f>
        <v>9.375</v>
      </c>
      <c r="D22" s="229"/>
      <c r="E22" s="15"/>
    </row>
    <row r="23" spans="1:7">
      <c r="A23" s="171" t="s">
        <v>76</v>
      </c>
      <c r="B23" s="37">
        <f>aantalw2001_niet_gespec</f>
        <v>49</v>
      </c>
      <c r="C23" s="166" t="s">
        <v>111</v>
      </c>
      <c r="D23" s="228"/>
      <c r="E23" s="15"/>
    </row>
    <row r="24" spans="1:7">
      <c r="A24" s="171" t="s">
        <v>77</v>
      </c>
      <c r="B24" s="37">
        <f>aantalw2001_steenkool</f>
        <v>114</v>
      </c>
      <c r="C24" s="166" t="s">
        <v>111</v>
      </c>
      <c r="D24" s="229"/>
      <c r="E24" s="15"/>
    </row>
    <row r="25" spans="1:7">
      <c r="A25" s="171" t="s">
        <v>78</v>
      </c>
      <c r="B25" s="37">
        <f>aantalw2001_stookolie</f>
        <v>3638</v>
      </c>
      <c r="C25" s="166" t="s">
        <v>111</v>
      </c>
      <c r="D25" s="228"/>
      <c r="E25" s="52"/>
    </row>
    <row r="26" spans="1:7">
      <c r="A26" s="171" t="s">
        <v>79</v>
      </c>
      <c r="B26" s="37">
        <f>aantalw2001_WP</f>
        <v>6</v>
      </c>
      <c r="C26" s="166" t="s">
        <v>111</v>
      </c>
      <c r="D26" s="228"/>
      <c r="E26" s="15"/>
    </row>
    <row r="27" spans="1:7" s="15" customFormat="1">
      <c r="A27" s="171"/>
      <c r="B27" s="29"/>
      <c r="C27" s="36"/>
      <c r="D27" s="228"/>
    </row>
    <row r="28" spans="1:7" s="15" customFormat="1">
      <c r="A28" s="230" t="s">
        <v>698</v>
      </c>
      <c r="B28" s="37">
        <f>aantalHuishoudens2011</f>
        <v>5586</v>
      </c>
      <c r="C28" s="36"/>
      <c r="D28" s="228"/>
    </row>
    <row r="29" spans="1:7" s="15" customFormat="1">
      <c r="A29" s="230" t="s">
        <v>699</v>
      </c>
      <c r="B29" s="37">
        <f>SUM(HH_hh_gas_aantal,HH_rest_gas_aantal)</f>
        <v>2014</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2014</v>
      </c>
      <c r="C32" s="167">
        <f>IF(ISERROR(B32/SUM($B$32,$B$34,$B$35,$B$36,$B$38,$B$39)*100),0,B32/SUM($B$32,$B$34,$B$35,$B$36,$B$38,$B$39)*100)</f>
        <v>36.386630532971999</v>
      </c>
      <c r="D32" s="233"/>
      <c r="G32" s="15"/>
    </row>
    <row r="33" spans="1:7">
      <c r="A33" s="171" t="s">
        <v>72</v>
      </c>
      <c r="B33" s="34" t="s">
        <v>111</v>
      </c>
      <c r="C33" s="167"/>
      <c r="D33" s="233"/>
      <c r="G33" s="15"/>
    </row>
    <row r="34" spans="1:7">
      <c r="A34" s="171" t="s">
        <v>73</v>
      </c>
      <c r="B34" s="33">
        <f>IF((($B$28-$B$32-$B$39-$B$77-$B$38)*C20/100)&lt;0,0,($B$28-$B$32-$B$39-$B$77-$B$38)*C20/100)</f>
        <v>180.60000000000002</v>
      </c>
      <c r="C34" s="167">
        <f>IF(ISERROR(B34/SUM($B$32,$B$34,$B$35,$B$36,$B$38,$B$39)*100),0,B34/SUM($B$32,$B$34,$B$35,$B$36,$B$38,$B$39)*100)</f>
        <v>3.2628726287262877</v>
      </c>
      <c r="D34" s="233"/>
      <c r="G34" s="15"/>
    </row>
    <row r="35" spans="1:7">
      <c r="A35" s="171" t="s">
        <v>74</v>
      </c>
      <c r="B35" s="33">
        <f>IF((($B$28-$B$32-$B$39-$B$77-$B$38)*C21/100)&lt;0,0,($B$28-$B$32-$B$39-$B$77-$B$38)*C21/100)</f>
        <v>941.7</v>
      </c>
      <c r="C35" s="167">
        <f>IF(ISERROR(B35/SUM($B$32,$B$34,$B$35,$B$36,$B$38,$B$39)*100),0,B35/SUM($B$32,$B$34,$B$35,$B$36,$B$38,$B$39)*100)</f>
        <v>17.013550135501358</v>
      </c>
      <c r="D35" s="233"/>
      <c r="G35" s="15"/>
    </row>
    <row r="36" spans="1:7">
      <c r="A36" s="171" t="s">
        <v>75</v>
      </c>
      <c r="B36" s="33">
        <f>IF((($B$28-$B$32-$B$39-$B$77-$B$38)*C22/100)&lt;0,0,($B$28-$B$32-$B$39-$B$77-$B$38)*C22/100)</f>
        <v>116.1</v>
      </c>
      <c r="C36" s="167">
        <f>IF(ISERROR(B36/SUM($B$32,$B$34,$B$35,$B$36,$B$38,$B$39)*100),0,B36/SUM($B$32,$B$34,$B$35,$B$36,$B$38,$B$39)*100)</f>
        <v>2.0975609756097557</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2282.6</v>
      </c>
      <c r="C39" s="167">
        <f>IF(ISERROR(B39/SUM($B$32,$B$34,$B$35,$B$36,$B$38,$B$39)*100),0,B39/SUM($B$32,$B$34,$B$35,$B$36,$B$38,$B$39)*100)</f>
        <v>41.239385727190601</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2014</v>
      </c>
      <c r="C44" s="34" t="s">
        <v>111</v>
      </c>
      <c r="D44" s="174"/>
    </row>
    <row r="45" spans="1:7">
      <c r="A45" s="171" t="s">
        <v>72</v>
      </c>
      <c r="B45" s="33" t="str">
        <f t="shared" si="0"/>
        <v>-</v>
      </c>
      <c r="C45" s="34" t="s">
        <v>111</v>
      </c>
      <c r="D45" s="174"/>
    </row>
    <row r="46" spans="1:7">
      <c r="A46" s="171" t="s">
        <v>73</v>
      </c>
      <c r="B46" s="33">
        <f t="shared" si="0"/>
        <v>180.60000000000002</v>
      </c>
      <c r="C46" s="34" t="s">
        <v>111</v>
      </c>
      <c r="D46" s="174"/>
    </row>
    <row r="47" spans="1:7">
      <c r="A47" s="171" t="s">
        <v>74</v>
      </c>
      <c r="B47" s="33">
        <f t="shared" si="0"/>
        <v>941.7</v>
      </c>
      <c r="C47" s="34" t="s">
        <v>111</v>
      </c>
      <c r="D47" s="174"/>
    </row>
    <row r="48" spans="1:7">
      <c r="A48" s="171" t="s">
        <v>75</v>
      </c>
      <c r="B48" s="33">
        <f t="shared" si="0"/>
        <v>116.1</v>
      </c>
      <c r="C48" s="33">
        <f>B48*10</f>
        <v>1161</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2282.6</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206</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51</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3" t="s">
        <v>156</v>
      </c>
      <c r="B1" s="1184" t="s">
        <v>195</v>
      </c>
      <c r="C1" s="1185"/>
      <c r="D1" s="1185"/>
      <c r="E1" s="1185"/>
      <c r="F1" s="1185"/>
      <c r="G1" s="1185"/>
      <c r="H1" s="1185"/>
      <c r="I1" s="1185"/>
      <c r="J1" s="1185"/>
      <c r="K1" s="1185"/>
      <c r="L1" s="1185"/>
      <c r="M1" s="1185"/>
      <c r="N1" s="1185"/>
      <c r="O1" s="1185"/>
      <c r="P1" s="1185"/>
    </row>
    <row r="2" spans="1:18" s="316"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6"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13346.32</v>
      </c>
      <c r="C5" s="17">
        <f>IF(ISERROR('Eigen informatie GS &amp; warmtenet'!B58),0,'Eigen informatie GS &amp; warmtenet'!B58)</f>
        <v>0</v>
      </c>
      <c r="D5" s="30">
        <f>SUM(D6:D12)</f>
        <v>7083.2274040000011</v>
      </c>
      <c r="E5" s="17">
        <f>SUM(E6:E12)</f>
        <v>210.6977849858161</v>
      </c>
      <c r="F5" s="17">
        <f>SUM(F6:F12)</f>
        <v>3065.9330207764792</v>
      </c>
      <c r="G5" s="18"/>
      <c r="H5" s="17"/>
      <c r="I5" s="17"/>
      <c r="J5" s="17">
        <f>SUM(J6:J12)</f>
        <v>0</v>
      </c>
      <c r="K5" s="17"/>
      <c r="L5" s="17"/>
      <c r="M5" s="17"/>
      <c r="N5" s="17">
        <f>SUM(N6:N12)</f>
        <v>529.90936274293517</v>
      </c>
      <c r="O5" s="17">
        <f>B38*B39*B40</f>
        <v>4.6900000000000004</v>
      </c>
      <c r="P5" s="17">
        <f>B46*B47*B48/1000-B46*B47*B48/1000/B49</f>
        <v>38.133333333333333</v>
      </c>
      <c r="R5" s="32"/>
    </row>
    <row r="6" spans="1:18">
      <c r="A6" s="32" t="s">
        <v>54</v>
      </c>
      <c r="B6" s="37">
        <f>B26</f>
        <v>2692.424</v>
      </c>
      <c r="C6" s="33"/>
      <c r="D6" s="37">
        <f>IF(ISERROR(TER_kantoor_gas_kWh/1000),0,TER_kantoor_gas_kWh/1000)*0.902</f>
        <v>3681.6086120000004</v>
      </c>
      <c r="E6" s="33">
        <f>$C$26*'E Balans VL '!I12/100/3.6*1000000</f>
        <v>35.247146745449761</v>
      </c>
      <c r="F6" s="33">
        <f>$C$26*('E Balans VL '!L12+'E Balans VL '!N12)/100/3.6*1000000</f>
        <v>686.54029752968961</v>
      </c>
      <c r="G6" s="34"/>
      <c r="H6" s="33"/>
      <c r="I6" s="33"/>
      <c r="J6" s="33">
        <f>$C$26*('E Balans VL '!D12+'E Balans VL '!E12)/100/3.6*1000000</f>
        <v>0</v>
      </c>
      <c r="K6" s="33"/>
      <c r="L6" s="33"/>
      <c r="M6" s="33"/>
      <c r="N6" s="33">
        <f>$C$26*'E Balans VL '!Y12/100/3.6*1000000</f>
        <v>2.7014905936062061</v>
      </c>
      <c r="O6" s="33"/>
      <c r="P6" s="33"/>
      <c r="R6" s="32"/>
    </row>
    <row r="7" spans="1:18">
      <c r="A7" s="32" t="s">
        <v>53</v>
      </c>
      <c r="B7" s="37">
        <f t="shared" ref="B7:B12" si="0">B27</f>
        <v>877.08299999999997</v>
      </c>
      <c r="C7" s="33"/>
      <c r="D7" s="37">
        <f>IF(ISERROR(TER_horeca_gas_kWh/1000),0,TER_horeca_gas_kWh/1000)*0.902</f>
        <v>464.32254</v>
      </c>
      <c r="E7" s="33">
        <f>$C$27*'E Balans VL '!I9/100/3.6*1000000</f>
        <v>29.02611218308251</v>
      </c>
      <c r="F7" s="33">
        <f>$C$27*('E Balans VL '!L9+'E Balans VL '!N9)/100/3.6*1000000</f>
        <v>377.14232861078477</v>
      </c>
      <c r="G7" s="34"/>
      <c r="H7" s="33"/>
      <c r="I7" s="33"/>
      <c r="J7" s="33">
        <f>$C$27*('E Balans VL '!D9+'E Balans VL '!E9)/100/3.6*1000000</f>
        <v>0</v>
      </c>
      <c r="K7" s="33"/>
      <c r="L7" s="33"/>
      <c r="M7" s="33"/>
      <c r="N7" s="33">
        <f>$C$27*'E Balans VL '!Y9/100/3.6*1000000</f>
        <v>0.21112661474289038</v>
      </c>
      <c r="O7" s="33"/>
      <c r="P7" s="33"/>
      <c r="R7" s="32"/>
    </row>
    <row r="8" spans="1:18">
      <c r="A8" s="6" t="s">
        <v>52</v>
      </c>
      <c r="B8" s="37">
        <f t="shared" si="0"/>
        <v>4589.53</v>
      </c>
      <c r="C8" s="33"/>
      <c r="D8" s="37">
        <f>IF(ISERROR(TER_handel_gas_kWh/1000),0,TER_handel_gas_kWh/1000)*0.902</f>
        <v>1617.75053</v>
      </c>
      <c r="E8" s="33">
        <f>$C$28*'E Balans VL '!I13/100/3.6*1000000</f>
        <v>144.85257939309901</v>
      </c>
      <c r="F8" s="33">
        <f>$C$28*('E Balans VL '!L13+'E Balans VL '!N13)/100/3.6*1000000</f>
        <v>900.08764960576013</v>
      </c>
      <c r="G8" s="34"/>
      <c r="H8" s="33"/>
      <c r="I8" s="33"/>
      <c r="J8" s="33">
        <f>$C$28*('E Balans VL '!D13+'E Balans VL '!E13)/100/3.6*1000000</f>
        <v>0</v>
      </c>
      <c r="K8" s="33"/>
      <c r="L8" s="33"/>
      <c r="M8" s="33"/>
      <c r="N8" s="33">
        <f>$C$28*'E Balans VL '!Y13/100/3.6*1000000</f>
        <v>5.4468810636893981</v>
      </c>
      <c r="O8" s="33"/>
      <c r="P8" s="33"/>
      <c r="R8" s="32"/>
    </row>
    <row r="9" spans="1:18">
      <c r="A9" s="32" t="s">
        <v>51</v>
      </c>
      <c r="B9" s="37">
        <f t="shared" si="0"/>
        <v>4537.7749999999996</v>
      </c>
      <c r="C9" s="33"/>
      <c r="D9" s="37">
        <f>IF(ISERROR(TER_gezond_gas_kWh/1000),0,TER_gezond_gas_kWh/1000)*0.902</f>
        <v>871.38161000000002</v>
      </c>
      <c r="E9" s="33">
        <f>$C$29*'E Balans VL '!I10/100/3.6*1000000</f>
        <v>0.5809679496621587</v>
      </c>
      <c r="F9" s="33">
        <f>$C$29*('E Balans VL '!L10+'E Balans VL '!N10)/100/3.6*1000000</f>
        <v>945.40872808041615</v>
      </c>
      <c r="G9" s="34"/>
      <c r="H9" s="33"/>
      <c r="I9" s="33"/>
      <c r="J9" s="33">
        <f>$C$29*('E Balans VL '!D10+'E Balans VL '!E10)/100/3.6*1000000</f>
        <v>0</v>
      </c>
      <c r="K9" s="33"/>
      <c r="L9" s="33"/>
      <c r="M9" s="33"/>
      <c r="N9" s="33">
        <f>$C$29*'E Balans VL '!Y10/100/3.6*1000000</f>
        <v>53.29831220943742</v>
      </c>
      <c r="O9" s="33"/>
      <c r="P9" s="33"/>
      <c r="R9" s="32"/>
    </row>
    <row r="10" spans="1:18">
      <c r="A10" s="32" t="s">
        <v>50</v>
      </c>
      <c r="B10" s="37">
        <f t="shared" si="0"/>
        <v>594.04600000000005</v>
      </c>
      <c r="C10" s="33"/>
      <c r="D10" s="37">
        <f>IF(ISERROR(TER_ander_gas_kWh/1000),0,TER_ander_gas_kWh/1000)*0.902</f>
        <v>334.81698800000004</v>
      </c>
      <c r="E10" s="33">
        <f>$C$30*'E Balans VL '!I14/100/3.6*1000000</f>
        <v>0.89330548482315819</v>
      </c>
      <c r="F10" s="33">
        <f>$C$30*('E Balans VL '!L14+'E Balans VL '!N14)/100/3.6*1000000</f>
        <v>131.14620796659798</v>
      </c>
      <c r="G10" s="34"/>
      <c r="H10" s="33"/>
      <c r="I10" s="33"/>
      <c r="J10" s="33">
        <f>$C$30*('E Balans VL '!D14+'E Balans VL '!E14)/100/3.6*1000000</f>
        <v>0</v>
      </c>
      <c r="K10" s="33"/>
      <c r="L10" s="33"/>
      <c r="M10" s="33"/>
      <c r="N10" s="33">
        <f>$C$30*'E Balans VL '!Y14/100/3.6*1000000</f>
        <v>468.14822578848748</v>
      </c>
      <c r="O10" s="33"/>
      <c r="P10" s="33"/>
      <c r="R10" s="32"/>
    </row>
    <row r="11" spans="1:18">
      <c r="A11" s="32" t="s">
        <v>55</v>
      </c>
      <c r="B11" s="37">
        <f t="shared" si="0"/>
        <v>55.462000000000003</v>
      </c>
      <c r="C11" s="33"/>
      <c r="D11" s="37">
        <f>IF(ISERROR(TER_onderwijs_gas_kWh/1000),0,TER_onderwijs_gas_kWh/1000)*0.902</f>
        <v>113.34712400000001</v>
      </c>
      <c r="E11" s="33">
        <f>$C$31*'E Balans VL '!I11/100/3.6*1000000</f>
        <v>9.7673229699534597E-2</v>
      </c>
      <c r="F11" s="33">
        <f>$C$31*('E Balans VL '!L11+'E Balans VL '!N11)/100/3.6*1000000</f>
        <v>25.60780898323015</v>
      </c>
      <c r="G11" s="34"/>
      <c r="H11" s="33"/>
      <c r="I11" s="33"/>
      <c r="J11" s="33">
        <f>$C$31*('E Balans VL '!D11+'E Balans VL '!E11)/100/3.6*1000000</f>
        <v>0</v>
      </c>
      <c r="K11" s="33"/>
      <c r="L11" s="33"/>
      <c r="M11" s="33"/>
      <c r="N11" s="33">
        <f>$C$31*'E Balans VL '!Y11/100/3.6*1000000</f>
        <v>0.10332647297172488</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491</v>
      </c>
      <c r="B13" s="247">
        <f ca="1">'lokale energieproductie'!N90+'lokale energieproductie'!N59</f>
        <v>814.5</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-2327.1428571428573</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14160.82</v>
      </c>
      <c r="C16" s="21">
        <f t="shared" ca="1" si="1"/>
        <v>0</v>
      </c>
      <c r="D16" s="21">
        <f t="shared" ca="1" si="1"/>
        <v>7083.2274040000011</v>
      </c>
      <c r="E16" s="21">
        <f t="shared" si="1"/>
        <v>210.6977849858161</v>
      </c>
      <c r="F16" s="21">
        <f t="shared" ca="1" si="1"/>
        <v>3065.9330207764792</v>
      </c>
      <c r="G16" s="21">
        <f t="shared" si="1"/>
        <v>0</v>
      </c>
      <c r="H16" s="21">
        <f t="shared" si="1"/>
        <v>0</v>
      </c>
      <c r="I16" s="21">
        <f t="shared" si="1"/>
        <v>0</v>
      </c>
      <c r="J16" s="21">
        <f t="shared" si="1"/>
        <v>0</v>
      </c>
      <c r="K16" s="21">
        <f t="shared" si="1"/>
        <v>0</v>
      </c>
      <c r="L16" s="21">
        <f t="shared" ca="1" si="1"/>
        <v>0</v>
      </c>
      <c r="M16" s="21">
        <f t="shared" si="1"/>
        <v>0</v>
      </c>
      <c r="N16" s="21">
        <f t="shared" ca="1" si="1"/>
        <v>0</v>
      </c>
      <c r="O16" s="21">
        <f>O5</f>
        <v>4.6900000000000004</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0.19081150369475375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2702.0473577507428</v>
      </c>
      <c r="C20" s="23">
        <f t="shared" ref="C20:P20" ca="1" si="2">C16*C18</f>
        <v>0</v>
      </c>
      <c r="D20" s="23">
        <f t="shared" ca="1" si="2"/>
        <v>1430.8119356080003</v>
      </c>
      <c r="E20" s="23">
        <f t="shared" si="2"/>
        <v>47.828397191780255</v>
      </c>
      <c r="F20" s="23">
        <f t="shared" ca="1" si="2"/>
        <v>818.60411654732002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2692.424</v>
      </c>
      <c r="C26" s="39">
        <f>IF(ISERROR(B26*3.6/1000000/'E Balans VL '!Z12*100),0,B26*3.6/1000000/'E Balans VL '!Z12*100)</f>
        <v>5.7673813742757228E-2</v>
      </c>
      <c r="D26" s="237" t="s">
        <v>660</v>
      </c>
      <c r="F26" s="6"/>
    </row>
    <row r="27" spans="1:18">
      <c r="A27" s="231" t="s">
        <v>53</v>
      </c>
      <c r="B27" s="33">
        <f>IF(ISERROR(TER_horeca_ele_kWh/1000),0,TER_horeca_ele_kWh/1000)</f>
        <v>877.08299999999997</v>
      </c>
      <c r="C27" s="39">
        <f>IF(ISERROR(B27*3.6/1000000/'E Balans VL '!Z9*100),0,B27*3.6/1000000/'E Balans VL '!Z9*100)</f>
        <v>7.0382862040610672E-2</v>
      </c>
      <c r="D27" s="237" t="s">
        <v>660</v>
      </c>
      <c r="F27" s="6"/>
    </row>
    <row r="28" spans="1:18">
      <c r="A28" s="171" t="s">
        <v>52</v>
      </c>
      <c r="B28" s="33">
        <f>IF(ISERROR(TER_handel_ele_kWh/1000),0,TER_handel_ele_kWh/1000)</f>
        <v>4589.53</v>
      </c>
      <c r="C28" s="39">
        <f>IF(ISERROR(B28*3.6/1000000/'E Balans VL '!Z13*100),0,B28*3.6/1000000/'E Balans VL '!Z13*100)</f>
        <v>0.13536481050591875</v>
      </c>
      <c r="D28" s="237" t="s">
        <v>660</v>
      </c>
      <c r="F28" s="6"/>
    </row>
    <row r="29" spans="1:18">
      <c r="A29" s="231" t="s">
        <v>51</v>
      </c>
      <c r="B29" s="33">
        <f>IF(ISERROR(TER_gezond_ele_kWh/1000),0,TER_gezond_ele_kWh/1000)</f>
        <v>4537.7749999999996</v>
      </c>
      <c r="C29" s="39">
        <f>IF(ISERROR(B29*3.6/1000000/'E Balans VL '!Z10*100),0,B29*3.6/1000000/'E Balans VL '!Z10*100)</f>
        <v>0.48451270768995086</v>
      </c>
      <c r="D29" s="237" t="s">
        <v>660</v>
      </c>
      <c r="F29" s="6"/>
    </row>
    <row r="30" spans="1:18">
      <c r="A30" s="231" t="s">
        <v>50</v>
      </c>
      <c r="B30" s="33">
        <f>IF(ISERROR(TER_ander_ele_kWh/1000),0,TER_ander_ele_kWh/1000)</f>
        <v>594.04600000000005</v>
      </c>
      <c r="C30" s="39">
        <f>IF(ISERROR(B30*3.6/1000000/'E Balans VL '!Z14*100),0,B30*3.6/1000000/'E Balans VL '!Z14*100)</f>
        <v>4.4870627104547658E-2</v>
      </c>
      <c r="D30" s="237" t="s">
        <v>660</v>
      </c>
      <c r="F30" s="6"/>
    </row>
    <row r="31" spans="1:18">
      <c r="A31" s="231" t="s">
        <v>55</v>
      </c>
      <c r="B31" s="33">
        <f>IF(ISERROR(TER_onderwijs_ele_kWh/1000),0,TER_onderwijs_ele_kWh/1000)</f>
        <v>55.462000000000003</v>
      </c>
      <c r="C31" s="39">
        <f>IF(ISERROR(B31*3.6/1000000/'E Balans VL '!Z11*100),0,B31*3.6/1000000/'E Balans VL '!Z11*100)</f>
        <v>1.119962926459344E-2</v>
      </c>
      <c r="D31" s="237" t="s">
        <v>660</v>
      </c>
    </row>
    <row r="32" spans="1:18">
      <c r="A32" s="231" t="s">
        <v>260</v>
      </c>
      <c r="B32" s="33">
        <f>IF(ISERROR(TER_rest_ele_kWh/1000),0,TER_rest_ele_kWh/1000)</f>
        <v>0</v>
      </c>
      <c r="C32" s="39">
        <f>IF(ISERROR(B32*3.6/1000000/'E Balans VL '!Z8*100),0,B32*3.6/1000000/'E Balans VL '!Z8*100)</f>
        <v>0</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2</v>
      </c>
      <c r="C46" s="32"/>
      <c r="D46" s="232"/>
    </row>
    <row r="47" spans="1:4">
      <c r="A47" s="171" t="s">
        <v>450</v>
      </c>
      <c r="B47" s="562">
        <v>13</v>
      </c>
      <c r="C47" s="32" t="s">
        <v>263</v>
      </c>
      <c r="D47" s="309" t="s">
        <v>510</v>
      </c>
    </row>
    <row r="48" spans="1:4">
      <c r="A48" s="171" t="s">
        <v>451</v>
      </c>
      <c r="B48" s="562">
        <v>2000</v>
      </c>
      <c r="C48" s="32" t="s">
        <v>265</v>
      </c>
      <c r="D48" s="309" t="s">
        <v>510</v>
      </c>
    </row>
    <row r="49" spans="1:4">
      <c r="A49" s="171" t="s">
        <v>412</v>
      </c>
      <c r="B49" s="562">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3" t="s">
        <v>163</v>
      </c>
      <c r="B1" s="1184" t="s">
        <v>195</v>
      </c>
      <c r="C1" s="1185"/>
      <c r="D1" s="1185"/>
      <c r="E1" s="1185"/>
      <c r="F1" s="1185"/>
      <c r="G1" s="1185"/>
      <c r="H1" s="1185"/>
      <c r="I1" s="1185"/>
      <c r="J1" s="1185"/>
      <c r="K1" s="1185"/>
      <c r="L1" s="1185"/>
      <c r="M1" s="1185"/>
      <c r="N1" s="1185"/>
      <c r="O1" s="1185"/>
      <c r="P1" s="1185"/>
      <c r="R1" s="825"/>
    </row>
    <row r="2" spans="1:18" s="316" customFormat="1" ht="15.75" thickTop="1">
      <c r="A2" s="1183"/>
      <c r="B2" s="1186" t="s">
        <v>21</v>
      </c>
      <c r="C2" s="1186" t="s">
        <v>196</v>
      </c>
      <c r="D2" s="1188" t="s">
        <v>197</v>
      </c>
      <c r="E2" s="1189"/>
      <c r="F2" s="1189"/>
      <c r="G2" s="1189"/>
      <c r="H2" s="1189"/>
      <c r="I2" s="1189"/>
      <c r="J2" s="1189"/>
      <c r="K2" s="1190"/>
      <c r="L2" s="1188" t="s">
        <v>198</v>
      </c>
      <c r="M2" s="1189"/>
      <c r="N2" s="1189"/>
      <c r="O2" s="1189"/>
      <c r="P2" s="1190"/>
      <c r="R2" s="825"/>
    </row>
    <row r="3" spans="1:18" s="316"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1447.058</v>
      </c>
      <c r="C5" s="17">
        <f>IF(ISERROR('Eigen informatie GS &amp; warmtenet'!B59),0,'Eigen informatie GS &amp; warmtenet'!B59)</f>
        <v>0</v>
      </c>
      <c r="D5" s="30">
        <f>SUM(D6:D15)</f>
        <v>597.58311800000001</v>
      </c>
      <c r="E5" s="17">
        <f>SUM(E6:E15)</f>
        <v>162.40226371215405</v>
      </c>
      <c r="F5" s="17">
        <f>SUM(F6:F15)</f>
        <v>642.77694185093117</v>
      </c>
      <c r="G5" s="18"/>
      <c r="H5" s="17"/>
      <c r="I5" s="17"/>
      <c r="J5" s="17">
        <f>SUM(J6:J15)</f>
        <v>7.6245603726004338</v>
      </c>
      <c r="K5" s="17"/>
      <c r="L5" s="17"/>
      <c r="M5" s="17"/>
      <c r="N5" s="17">
        <f>SUM(N6:N15)</f>
        <v>491.38859544125143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30.771999999999998</v>
      </c>
      <c r="C8" s="33"/>
      <c r="D8" s="37">
        <f>IF( ISERROR(IND_metaal_Gas_kWH/1000),0,IND_metaal_Gas_kWH/1000)*0.902</f>
        <v>0</v>
      </c>
      <c r="E8" s="33">
        <f>C30*'E Balans VL '!I18/100/3.6*1000000</f>
        <v>1.1072696516104947</v>
      </c>
      <c r="F8" s="33">
        <f>C30*'E Balans VL '!L18/100/3.6*1000000+C30*'E Balans VL '!N18/100/3.6*1000000</f>
        <v>13.437134879083148</v>
      </c>
      <c r="G8" s="34"/>
      <c r="H8" s="33"/>
      <c r="I8" s="33"/>
      <c r="J8" s="40">
        <f>C30*'E Balans VL '!D18/100/3.6*1000000+C30*'E Balans VL '!E18/100/3.6*1000000</f>
        <v>0</v>
      </c>
      <c r="K8" s="33"/>
      <c r="L8" s="33"/>
      <c r="M8" s="33"/>
      <c r="N8" s="33">
        <f>C30*'E Balans VL '!Y18/100/3.6*1000000</f>
        <v>1.5422717282101952</v>
      </c>
      <c r="O8" s="33"/>
      <c r="P8" s="33"/>
      <c r="R8" s="32"/>
    </row>
    <row r="9" spans="1:18">
      <c r="A9" s="6" t="s">
        <v>33</v>
      </c>
      <c r="B9" s="37">
        <f t="shared" si="0"/>
        <v>562.87</v>
      </c>
      <c r="C9" s="33"/>
      <c r="D9" s="37">
        <f>IF( ISERROR(IND_andere_gas_kWh/1000),0,IND_andere_gas_kWh/1000)*0.902</f>
        <v>447.77535</v>
      </c>
      <c r="E9" s="33">
        <f>C31*'E Balans VL '!I19/100/3.6*1000000</f>
        <v>143.63168870954777</v>
      </c>
      <c r="F9" s="33">
        <f>C31*'E Balans VL '!L19/100/3.6*1000000+C31*'E Balans VL '!N19/100/3.6*1000000</f>
        <v>484.58876304604695</v>
      </c>
      <c r="G9" s="34"/>
      <c r="H9" s="33"/>
      <c r="I9" s="33"/>
      <c r="J9" s="40">
        <f>C31*'E Balans VL '!D19/100/3.6*1000000+C31*'E Balans VL '!E19/100/3.6*1000000</f>
        <v>0</v>
      </c>
      <c r="K9" s="33"/>
      <c r="L9" s="33"/>
      <c r="M9" s="33"/>
      <c r="N9" s="33">
        <f>C31*'E Balans VL '!Y19/100/3.6*1000000</f>
        <v>176.02872528430845</v>
      </c>
      <c r="O9" s="33"/>
      <c r="P9" s="33"/>
      <c r="R9" s="32"/>
    </row>
    <row r="10" spans="1:18">
      <c r="A10" s="6" t="s">
        <v>41</v>
      </c>
      <c r="B10" s="37">
        <f t="shared" si="0"/>
        <v>320.05099999999999</v>
      </c>
      <c r="C10" s="33"/>
      <c r="D10" s="37">
        <f>IF( ISERROR(IND_voed_gas_kWh/1000),0,IND_voed_gas_kWh/1000)*0.902</f>
        <v>31.066684000000002</v>
      </c>
      <c r="E10" s="33">
        <f>C32*'E Balans VL '!I20/100/3.6*1000000</f>
        <v>8.136135886036497</v>
      </c>
      <c r="F10" s="33">
        <f>C32*'E Balans VL '!L20/100/3.6*1000000+C32*'E Balans VL '!N20/100/3.6*1000000</f>
        <v>72.422736920160006</v>
      </c>
      <c r="G10" s="34"/>
      <c r="H10" s="33"/>
      <c r="I10" s="33"/>
      <c r="J10" s="40">
        <f>C32*'E Balans VL '!D20/100/3.6*1000000+C32*'E Balans VL '!E20/100/3.6*1000000</f>
        <v>0</v>
      </c>
      <c r="K10" s="33"/>
      <c r="L10" s="33"/>
      <c r="M10" s="33"/>
      <c r="N10" s="33">
        <f>C32*'E Balans VL '!Y20/100/3.6*1000000</f>
        <v>120.0278003235872</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426.90100000000001</v>
      </c>
      <c r="C12" s="33"/>
      <c r="D12" s="37">
        <f>IF( ISERROR(IND_min_gas_kWh/1000),0,IND_min_gas_kWh/1000)*0.902</f>
        <v>0</v>
      </c>
      <c r="E12" s="33">
        <f>C34*'E Balans VL '!I22/100/3.6*1000000</f>
        <v>9.0705763412302076</v>
      </c>
      <c r="F12" s="33">
        <f>C34*'E Balans VL '!L22/100/3.6*1000000+C34*'E Balans VL '!N22/100/3.6*1000000</f>
        <v>69.652536242421093</v>
      </c>
      <c r="G12" s="34"/>
      <c r="H12" s="33"/>
      <c r="I12" s="33"/>
      <c r="J12" s="40">
        <f>C34*'E Balans VL '!D22/100/3.6*1000000+C34*'E Balans VL '!E22/100/3.6*1000000</f>
        <v>0.49737950361987232</v>
      </c>
      <c r="K12" s="33"/>
      <c r="L12" s="33"/>
      <c r="M12" s="33"/>
      <c r="N12" s="33">
        <f>C34*'E Balans VL '!Y22/100/3.6*1000000</f>
        <v>0</v>
      </c>
      <c r="O12" s="33"/>
      <c r="P12" s="33"/>
      <c r="R12" s="32"/>
    </row>
    <row r="13" spans="1:18">
      <c r="A13" s="6" t="s">
        <v>39</v>
      </c>
      <c r="B13" s="37">
        <f t="shared" si="0"/>
        <v>106.464</v>
      </c>
      <c r="C13" s="33"/>
      <c r="D13" s="37">
        <f>IF( ISERROR(IND_papier_gas_kWh/1000),0,IND_papier_gas_kWh/1000)*0.902</f>
        <v>0</v>
      </c>
      <c r="E13" s="33">
        <f>C35*'E Balans VL '!I23/100/3.6*1000000</f>
        <v>0.45659312372908978</v>
      </c>
      <c r="F13" s="33">
        <f>C35*'E Balans VL '!L23/100/3.6*1000000+C35*'E Balans VL '!N23/100/3.6*1000000</f>
        <v>2.6757707632199699</v>
      </c>
      <c r="G13" s="34"/>
      <c r="H13" s="33"/>
      <c r="I13" s="33"/>
      <c r="J13" s="40">
        <f>C35*'E Balans VL '!D23/100/3.6*1000000+C35*'E Balans VL '!E23/100/3.6*1000000</f>
        <v>7.1271808689805614</v>
      </c>
      <c r="K13" s="33"/>
      <c r="L13" s="33"/>
      <c r="M13" s="33"/>
      <c r="N13" s="33">
        <f>C35*'E Balans VL '!Y23/100/3.6*1000000</f>
        <v>193.78979810514562</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0</v>
      </c>
      <c r="C15" s="33"/>
      <c r="D15" s="37">
        <f>IF( ISERROR(IND_rest_gas_kWh/1000),0,IND_rest_gas_kWh/1000)*0.902</f>
        <v>118.741084</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491</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1447.058</v>
      </c>
      <c r="C18" s="21">
        <f>C5+C16</f>
        <v>0</v>
      </c>
      <c r="D18" s="21">
        <f>MAX((D5+D16),0)</f>
        <v>597.58311800000001</v>
      </c>
      <c r="E18" s="21">
        <f>MAX((E5+E16),0)</f>
        <v>162.40226371215405</v>
      </c>
      <c r="F18" s="21">
        <f>MAX((F5+F16),0)</f>
        <v>642.77694185093117</v>
      </c>
      <c r="G18" s="21"/>
      <c r="H18" s="21"/>
      <c r="I18" s="21"/>
      <c r="J18" s="21">
        <f>MAX((J5+J16),0)</f>
        <v>7.6245603726004338</v>
      </c>
      <c r="K18" s="21"/>
      <c r="L18" s="21">
        <f>MAX((L5+L16),0)</f>
        <v>0</v>
      </c>
      <c r="M18" s="21"/>
      <c r="N18" s="21">
        <f>MAX((N5+N16),0)</f>
        <v>491.38859544125143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0.19081150369475375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276.11531291352298</v>
      </c>
      <c r="C22" s="23">
        <f ca="1">C18*C20</f>
        <v>0</v>
      </c>
      <c r="D22" s="23">
        <f>D18*D20</f>
        <v>120.71178983600001</v>
      </c>
      <c r="E22" s="23">
        <f>E18*E20</f>
        <v>36.865313862658972</v>
      </c>
      <c r="F22" s="23">
        <f>F18*F20</f>
        <v>171.62144347419863</v>
      </c>
      <c r="G22" s="23"/>
      <c r="H22" s="23"/>
      <c r="I22" s="23"/>
      <c r="J22" s="23">
        <f>J18*J20</f>
        <v>2.6990943719005536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30.771999999999998</v>
      </c>
      <c r="C30" s="39">
        <f>IF(ISERROR(B30*3.6/1000000/'E Balans VL '!Z18*100),0,B30*3.6/1000000/'E Balans VL '!Z18*100)</f>
        <v>6.5199270657076555E-3</v>
      </c>
      <c r="D30" s="237" t="s">
        <v>660</v>
      </c>
    </row>
    <row r="31" spans="1:18">
      <c r="A31" s="6" t="s">
        <v>33</v>
      </c>
      <c r="B31" s="37">
        <f>IF( ISERROR(IND_ander_ele_kWh/1000),0,IND_ander_ele_kWh/1000)</f>
        <v>562.87</v>
      </c>
      <c r="C31" s="39">
        <f>IF(ISERROR(B31*3.6/1000000/'E Balans VL '!Z19*100),0,B31*3.6/1000000/'E Balans VL '!Z19*100)</f>
        <v>2.3692476389285216E-2</v>
      </c>
      <c r="D31" s="237" t="s">
        <v>660</v>
      </c>
    </row>
    <row r="32" spans="1:18">
      <c r="A32" s="171" t="s">
        <v>41</v>
      </c>
      <c r="B32" s="37">
        <f>IF( ISERROR(IND_voed_ele_kWh/1000),0,IND_voed_ele_kWh/1000)</f>
        <v>320.05099999999999</v>
      </c>
      <c r="C32" s="39">
        <f>IF(ISERROR(B32*3.6/1000000/'E Balans VL '!Z20*100),0,B32*3.6/1000000/'E Balans VL '!Z20*100)</f>
        <v>5.3468140678015856E-2</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426.90100000000001</v>
      </c>
      <c r="C34" s="39">
        <f>IF(ISERROR(B34*3.6/1000000/'E Balans VL '!Z22*100),0,B34*3.6/1000000/'E Balans VL '!Z22*100)</f>
        <v>5.4112004020293342E-2</v>
      </c>
      <c r="D34" s="237" t="s">
        <v>660</v>
      </c>
    </row>
    <row r="35" spans="1:5">
      <c r="A35" s="171" t="s">
        <v>39</v>
      </c>
      <c r="B35" s="37">
        <f>IF( ISERROR(IND_papier_ele_kWh/1000),0,IND_papier_ele_kWh/1000)</f>
        <v>106.464</v>
      </c>
      <c r="C35" s="39">
        <f>IF(ISERROR(B35*3.6/1000000/'E Balans VL '!Z22*100),0,B35*3.6/1000000/'E Balans VL '!Z22*100)</f>
        <v>1.3494886158656242E-2</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0</v>
      </c>
      <c r="C37" s="39">
        <f>IF(ISERROR(B37*3.6/1000000/'E Balans VL '!Z15*100),0,B37*3.6/1000000/'E Balans VL '!Z15*100)</f>
        <v>0</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3" t="s">
        <v>271</v>
      </c>
      <c r="B1" s="1184" t="s">
        <v>195</v>
      </c>
      <c r="C1" s="1185"/>
      <c r="D1" s="1185"/>
      <c r="E1" s="1185"/>
      <c r="F1" s="1185"/>
      <c r="G1" s="1185"/>
      <c r="H1" s="1185"/>
      <c r="I1" s="1185"/>
      <c r="J1" s="1185"/>
      <c r="K1" s="1185"/>
      <c r="L1" s="1185"/>
      <c r="M1" s="1185"/>
      <c r="N1" s="1185"/>
      <c r="O1" s="1185"/>
      <c r="P1" s="1185"/>
    </row>
    <row r="2" spans="1:18" s="316"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6"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802.99099999999999</v>
      </c>
      <c r="C5" s="17">
        <f>'Eigen informatie GS &amp; warmtenet'!B60</f>
        <v>0</v>
      </c>
      <c r="D5" s="30">
        <f>IF(ISERROR(SUM(LB_lb_gas_kWh,LB_rest_gas_kWh,onbekend_gas_kWh)/1000),0,SUM(LB_lb_gas_kWh,LB_rest_gas_kWh,onbekend_gas_kWh)/1000)*0.902</f>
        <v>118.75551599999999</v>
      </c>
      <c r="E5" s="17">
        <f>B17*'E Balans VL '!I25/3.6*1000000/100</f>
        <v>20.706054761015206</v>
      </c>
      <c r="F5" s="17">
        <f>B17*('E Balans VL '!L25/3.6*1000000+'E Balans VL '!N25/3.6*1000000)/100</f>
        <v>2935.0850272074267</v>
      </c>
      <c r="G5" s="18"/>
      <c r="H5" s="17"/>
      <c r="I5" s="17"/>
      <c r="J5" s="17">
        <f>('E Balans VL '!D25+'E Balans VL '!E25)/3.6*1000000*landbouw!B17/100</f>
        <v>115.60116464544943</v>
      </c>
      <c r="K5" s="17"/>
      <c r="L5" s="17">
        <f>L6*(-1)</f>
        <v>0</v>
      </c>
      <c r="M5" s="17"/>
      <c r="N5" s="17">
        <f>N6*(-1)</f>
        <v>0</v>
      </c>
      <c r="O5" s="17"/>
      <c r="P5" s="17"/>
      <c r="R5" s="32"/>
    </row>
    <row r="6" spans="1:18">
      <c r="A6" s="16" t="s">
        <v>491</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802.99099999999999</v>
      </c>
      <c r="C8" s="21">
        <f>C5+C6</f>
        <v>0</v>
      </c>
      <c r="D8" s="21">
        <f>MAX((D5+D6),0)</f>
        <v>118.75551599999999</v>
      </c>
      <c r="E8" s="21">
        <f>MAX((E5+E6),0)</f>
        <v>20.706054761015206</v>
      </c>
      <c r="F8" s="21">
        <f>MAX((F5+F6),0)</f>
        <v>2935.0850272074267</v>
      </c>
      <c r="G8" s="21"/>
      <c r="H8" s="21"/>
      <c r="I8" s="21"/>
      <c r="J8" s="21">
        <f>MAX((J5+J6),0)</f>
        <v>115.60116464544943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0.19081150369475375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153.219920163354</v>
      </c>
      <c r="C12" s="23">
        <f ca="1">C8*C10</f>
        <v>0</v>
      </c>
      <c r="D12" s="23">
        <f>D8*D10</f>
        <v>23.988614232</v>
      </c>
      <c r="E12" s="23">
        <f>E8*E10</f>
        <v>4.7002744307504516</v>
      </c>
      <c r="F12" s="23">
        <f>F8*F10</f>
        <v>783.66770226438302</v>
      </c>
      <c r="G12" s="23"/>
      <c r="H12" s="23"/>
      <c r="I12" s="23"/>
      <c r="J12" s="23">
        <f>J8*J10</f>
        <v>40.922812284489098</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0.11322704989311914</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91" t="s">
        <v>303</v>
      </c>
      <c r="B22" s="1194" t="s">
        <v>304</v>
      </c>
      <c r="C22" s="1194" t="s">
        <v>496</v>
      </c>
    </row>
    <row r="23" spans="1:4">
      <c r="A23" s="1192"/>
      <c r="B23" s="1195"/>
      <c r="C23" s="1195"/>
    </row>
    <row r="24" spans="1:4" ht="15.75" thickBot="1">
      <c r="A24" s="1193"/>
      <c r="B24" s="1196"/>
      <c r="C24" s="1196"/>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182.41010853432419</v>
      </c>
      <c r="C26" s="247">
        <f>B26*'GWP N2O_CH4'!B5</f>
        <v>3830.612279220808</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38.229351827028864</v>
      </c>
      <c r="C27" s="247">
        <f>B27*'GWP N2O_CH4'!B5</f>
        <v>802.81638836760612</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2.669326273440904</v>
      </c>
      <c r="C28" s="247">
        <f>B28*'GWP N2O_CH4'!B4</f>
        <v>827.49114476668024</v>
      </c>
      <c r="D28" s="50"/>
    </row>
    <row r="29" spans="1:4">
      <c r="A29" s="41" t="s">
        <v>277</v>
      </c>
      <c r="B29" s="247">
        <f>B34*'ha_N2O bodem landbouw'!B4</f>
        <v>15.326799482429374</v>
      </c>
      <c r="C29" s="247">
        <f>B29*'GWP N2O_CH4'!B4</f>
        <v>4751.3078395531056</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3.4493627660585327E-3</v>
      </c>
      <c r="C34" s="99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3" t="s">
        <v>500</v>
      </c>
      <c r="B1" s="1184" t="s">
        <v>549</v>
      </c>
      <c r="C1" s="1185"/>
      <c r="D1" s="1185"/>
      <c r="E1" s="1185"/>
      <c r="F1" s="1185"/>
      <c r="G1" s="1185"/>
      <c r="H1" s="1185"/>
      <c r="I1" s="1185"/>
      <c r="J1" s="1185"/>
      <c r="K1" s="1185"/>
      <c r="L1" s="1185"/>
      <c r="M1" s="1185"/>
      <c r="N1" s="1185"/>
      <c r="O1" s="1185"/>
      <c r="P1" s="1185"/>
    </row>
    <row r="2" spans="1:18" s="316"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6"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5.9254266021158524E-5</v>
      </c>
      <c r="C5" s="463" t="s">
        <v>211</v>
      </c>
      <c r="D5" s="448">
        <f>SUM(D6:D11)</f>
        <v>1.4744678521217401E-4</v>
      </c>
      <c r="E5" s="448">
        <f>SUM(E6:E11)</f>
        <v>5.6006234342255499E-4</v>
      </c>
      <c r="F5" s="461" t="s">
        <v>211</v>
      </c>
      <c r="G5" s="448">
        <f>SUM(G6:G11)</f>
        <v>0.19900407212848875</v>
      </c>
      <c r="H5" s="448">
        <f>SUM(H6:H11)</f>
        <v>3.9379767295630079E-2</v>
      </c>
      <c r="I5" s="463" t="s">
        <v>211</v>
      </c>
      <c r="J5" s="463" t="s">
        <v>211</v>
      </c>
      <c r="K5" s="463" t="s">
        <v>211</v>
      </c>
      <c r="L5" s="463" t="s">
        <v>211</v>
      </c>
      <c r="M5" s="448">
        <f>SUM(M6:M11)</f>
        <v>7.4495119020193557E-3</v>
      </c>
      <c r="N5" s="463" t="s">
        <v>211</v>
      </c>
      <c r="O5" s="463" t="s">
        <v>211</v>
      </c>
      <c r="P5" s="464" t="s">
        <v>211</v>
      </c>
    </row>
    <row r="6" spans="1:18">
      <c r="A6" s="261" t="s">
        <v>668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3.9853634592762703E-5</v>
      </c>
      <c r="C6" s="449"/>
      <c r="D6" s="962">
        <f>vkm_2011_GW_PW*SUMIFS(TableVerdeelsleutelVkm[CNG],TableVerdeelsleutelVkm[Voertuigtype],"Lichte voertuigen")*SUMIFS(TableECFTransport[EnergieConsumptieFactor (PJ per km)],TableECFTransport[Index],CONCATENATE($A6,"_CNG_CNG"))</f>
        <v>7.9189870033383259E-5</v>
      </c>
      <c r="E6" s="962">
        <f>vkm_2011_GW_PW*SUMIFS(TableVerdeelsleutelVkm[LPG],TableVerdeelsleutelVkm[Voertuigtype],"Lichte voertuigen")*SUMIFS(TableECFTransport[EnergieConsumptieFactor (PJ per km)],TableECFTransport[Index],CONCATENATE($A6,"_LPG_LPG"))</f>
        <v>3.1164052602172077E-4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7.4097424077989846E-2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2.1439080192607519E-2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2.9770056927697279E-3</v>
      </c>
      <c r="N6" s="449"/>
      <c r="O6" s="449"/>
      <c r="P6" s="450"/>
    </row>
    <row r="7" spans="1:18">
      <c r="A7" s="261" t="s">
        <v>669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5.3503167990778339E-2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1.7283808569003768E-5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1.6858029594726354E-3</v>
      </c>
      <c r="N7" s="449"/>
      <c r="O7" s="449"/>
      <c r="P7" s="450"/>
      <c r="R7" s="95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1.9400631428395824E-5</v>
      </c>
      <c r="C8" s="449"/>
      <c r="D8" s="451">
        <f>vkm_2011_NGW_PW*SUMIFS(TableVerdeelsleutelVkm[CNG],TableVerdeelsleutelVkm[Voertuigtype],"Lichte voertuigen")*SUMIFS(TableECFTransport[EnergieConsumptieFactor (PJ per km)],TableECFTransport[Index],CONCATENATE($A8,"_CNG_CNG"))</f>
        <v>6.825691517879076E-5</v>
      </c>
      <c r="E8" s="451">
        <f>vkm_2011_NGW_PW*SUMIFS(TableVerdeelsleutelVkm[LPG],TableVerdeelsleutelVkm[Voertuigtype],"Lichte voertuigen")*SUMIFS(TableECFTransport[EnergieConsumptieFactor (PJ per km)],TableECFTransport[Index],CONCATENATE($A8,"_LPG_LPG"))</f>
        <v>2.4842181740083427E-4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5.5156626854521905E-2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1.7918439743040589E-2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2.2747983085565603E-3</v>
      </c>
      <c r="N8" s="449"/>
      <c r="O8" s="449"/>
      <c r="P8" s="450"/>
      <c r="R8" s="95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1.6246853205198659E-2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4.9635514129681567E-6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5.1190494122043166E-4</v>
      </c>
      <c r="N9" s="449"/>
      <c r="O9" s="449"/>
      <c r="P9" s="450"/>
      <c r="R9" s="95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16.4595183392107</v>
      </c>
      <c r="C14" s="21"/>
      <c r="D14" s="21">
        <f t="shared" ref="D14:M14" si="0">((D5)*10^9/3600)+D12</f>
        <v>40.957440336715003</v>
      </c>
      <c r="E14" s="21">
        <f t="shared" si="0"/>
        <v>155.57287317293193</v>
      </c>
      <c r="F14" s="21"/>
      <c r="G14" s="21">
        <f t="shared" si="0"/>
        <v>55278.90892458021</v>
      </c>
      <c r="H14" s="21">
        <f t="shared" si="0"/>
        <v>10938.824248786133</v>
      </c>
      <c r="I14" s="21"/>
      <c r="J14" s="21"/>
      <c r="K14" s="21"/>
      <c r="L14" s="21"/>
      <c r="M14" s="21">
        <f t="shared" si="0"/>
        <v>2069.3088616720433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0.19081150369475375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3.1406654443961695</v>
      </c>
      <c r="C18" s="23"/>
      <c r="D18" s="23">
        <f t="shared" ref="D18:M18" si="1">D14*D16</f>
        <v>8.2734029480164306</v>
      </c>
      <c r="E18" s="23">
        <f t="shared" si="1"/>
        <v>35.315042210255548</v>
      </c>
      <c r="F18" s="23"/>
      <c r="G18" s="23">
        <f t="shared" si="1"/>
        <v>14759.468682862916</v>
      </c>
      <c r="H18" s="23">
        <f t="shared" si="1"/>
        <v>2723.7672379477472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674</v>
      </c>
      <c r="D23" s="999" t="s">
        <v>675</v>
      </c>
      <c r="E23" s="999" t="s">
        <v>676</v>
      </c>
      <c r="F23" s="999" t="s">
        <v>651</v>
      </c>
      <c r="G23" s="999" t="s">
        <v>677</v>
      </c>
      <c r="H23" s="999" t="s">
        <v>678</v>
      </c>
      <c r="I23" s="999" t="s">
        <v>119</v>
      </c>
      <c r="J23" s="999" t="s">
        <v>679</v>
      </c>
      <c r="K23" s="999" t="s">
        <v>680</v>
      </c>
      <c r="L23" s="1000" t="s">
        <v>681</v>
      </c>
      <c r="M23" s="129" t="s">
        <v>182</v>
      </c>
      <c r="N23" s="268" t="s">
        <v>316</v>
      </c>
    </row>
    <row r="24" spans="1:18">
      <c r="A24" s="32" t="s">
        <v>666</v>
      </c>
      <c r="B24" s="984">
        <v>6.917209725570793E-4</v>
      </c>
      <c r="C24" s="984">
        <v>0.7736533124238355</v>
      </c>
      <c r="D24" s="960"/>
      <c r="E24" s="984"/>
      <c r="F24" s="984">
        <v>2.0167997068004534E-5</v>
      </c>
      <c r="G24" s="984">
        <v>9.924786749950698E-4</v>
      </c>
      <c r="H24" s="960"/>
      <c r="I24" s="960">
        <v>3.08527784353005E-3</v>
      </c>
      <c r="J24" s="960">
        <v>0.21781338224224689</v>
      </c>
      <c r="K24" s="960">
        <v>4.7361385207626361E-3</v>
      </c>
      <c r="M24" s="269" t="s">
        <v>714</v>
      </c>
      <c r="N24" s="961">
        <f>SUM(B24:K24)</f>
        <v>1.0009924786749953</v>
      </c>
      <c r="O24" s="958" t="s">
        <v>652</v>
      </c>
    </row>
    <row r="25" spans="1:18">
      <c r="A25" s="32" t="s">
        <v>667</v>
      </c>
      <c r="B25" s="960" t="s">
        <v>715</v>
      </c>
      <c r="C25" s="984">
        <v>0.99949792595839149</v>
      </c>
      <c r="D25" s="960"/>
      <c r="E25" s="960"/>
      <c r="F25" s="984" t="s">
        <v>715</v>
      </c>
      <c r="G25" s="960" t="s">
        <v>715</v>
      </c>
      <c r="H25" s="960"/>
      <c r="I25" s="960" t="s">
        <v>715</v>
      </c>
      <c r="J25" s="960">
        <v>5.0207404160854336E-4</v>
      </c>
      <c r="K25" s="96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2015</v>
      </c>
      <c r="D30" s="274" t="s">
        <v>319</v>
      </c>
      <c r="E30" s="243" t="s">
        <v>182</v>
      </c>
      <c r="F30" s="271"/>
      <c r="G30" s="243"/>
      <c r="H30" s="243"/>
      <c r="I30" s="243"/>
      <c r="J30" s="243"/>
      <c r="K30" s="243"/>
      <c r="L30" s="272"/>
    </row>
    <row r="31" spans="1:18">
      <c r="A31" s="275" t="s">
        <v>320</v>
      </c>
      <c r="B31" s="276"/>
      <c r="C31" s="277"/>
      <c r="D31" s="276">
        <v>4.2694999999999997E-2</v>
      </c>
      <c r="E31" s="996" t="s">
        <v>755</v>
      </c>
      <c r="F31" s="53"/>
      <c r="G31" s="43"/>
      <c r="H31" s="43"/>
      <c r="I31" s="43"/>
      <c r="J31" s="43"/>
      <c r="K31" s="43"/>
      <c r="L31" s="174"/>
    </row>
    <row r="32" spans="1:18">
      <c r="A32" s="278" t="s">
        <v>321</v>
      </c>
      <c r="B32" s="279"/>
      <c r="C32" s="280"/>
      <c r="D32" s="279">
        <v>3.73E-2</v>
      </c>
      <c r="E32" s="996" t="s">
        <v>755</v>
      </c>
      <c r="F32" s="53"/>
      <c r="G32" s="43"/>
      <c r="H32" s="43"/>
      <c r="I32" s="43"/>
      <c r="J32" s="43"/>
      <c r="K32" s="43"/>
      <c r="L32" s="174"/>
    </row>
    <row r="33" spans="1:16">
      <c r="A33" s="278" t="s">
        <v>322</v>
      </c>
      <c r="B33" s="281"/>
      <c r="C33" s="282"/>
      <c r="D33" s="58"/>
      <c r="E33" s="995"/>
      <c r="F33" s="53"/>
      <c r="G33" s="43"/>
      <c r="H33" s="43"/>
      <c r="I33" s="43"/>
      <c r="J33" s="43"/>
      <c r="K33" s="43"/>
      <c r="L33" s="174"/>
    </row>
    <row r="34" spans="1:16">
      <c r="A34" s="278" t="s">
        <v>323</v>
      </c>
      <c r="B34" s="281"/>
      <c r="C34" s="283">
        <v>3.4799999999999998E-2</v>
      </c>
      <c r="D34" s="58"/>
      <c r="E34" s="99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2015</v>
      </c>
      <c r="D37" s="274" t="s">
        <v>319</v>
      </c>
      <c r="E37" s="997" t="s">
        <v>182</v>
      </c>
      <c r="F37" s="286"/>
      <c r="G37" s="267"/>
      <c r="H37" s="267"/>
      <c r="I37" s="267"/>
      <c r="J37" s="267"/>
      <c r="K37" s="267"/>
      <c r="L37" s="268"/>
    </row>
    <row r="38" spans="1:16">
      <c r="A38" s="278" t="s">
        <v>325</v>
      </c>
      <c r="B38" s="279"/>
      <c r="C38" s="280"/>
      <c r="D38" s="279">
        <v>4.3774E-2</v>
      </c>
      <c r="E38" s="996" t="s">
        <v>755</v>
      </c>
      <c r="F38" s="282"/>
      <c r="G38" s="58"/>
      <c r="H38" s="58"/>
      <c r="I38" s="58"/>
      <c r="J38" s="58"/>
      <c r="K38" s="58"/>
      <c r="L38" s="284"/>
    </row>
    <row r="39" spans="1:16">
      <c r="A39" s="278" t="s">
        <v>326</v>
      </c>
      <c r="B39" s="279"/>
      <c r="C39" s="280"/>
      <c r="D39" s="279">
        <v>2.8799999999999999E-2</v>
      </c>
      <c r="E39" s="996" t="s">
        <v>755</v>
      </c>
      <c r="F39" s="282"/>
      <c r="G39" s="58"/>
      <c r="H39" s="58"/>
      <c r="I39" s="58"/>
      <c r="J39" s="58"/>
      <c r="K39" s="58"/>
      <c r="L39" s="284"/>
    </row>
    <row r="40" spans="1:16">
      <c r="A40" s="278" t="s">
        <v>322</v>
      </c>
      <c r="B40" s="281"/>
      <c r="C40" s="282"/>
      <c r="D40" s="282"/>
      <c r="E40" s="996"/>
      <c r="F40" s="58"/>
      <c r="G40" s="58"/>
      <c r="H40" s="58"/>
      <c r="I40" s="58"/>
      <c r="J40" s="58"/>
      <c r="K40" s="58"/>
      <c r="L40" s="284"/>
    </row>
    <row r="41" spans="1:16">
      <c r="A41" s="278" t="s">
        <v>327</v>
      </c>
      <c r="B41" s="281"/>
      <c r="C41" s="283">
        <v>4.36E-2</v>
      </c>
      <c r="D41" s="282"/>
      <c r="E41" s="99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7" t="s">
        <v>501</v>
      </c>
      <c r="B46" s="1198" t="s">
        <v>548</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1.3231546884034827E-2</v>
      </c>
      <c r="H50" s="321">
        <f t="shared" si="2"/>
        <v>0</v>
      </c>
      <c r="I50" s="321">
        <f t="shared" si="2"/>
        <v>0</v>
      </c>
      <c r="J50" s="321">
        <f t="shared" si="2"/>
        <v>0</v>
      </c>
      <c r="K50" s="321">
        <f t="shared" si="2"/>
        <v>0</v>
      </c>
      <c r="L50" s="321">
        <f t="shared" si="2"/>
        <v>0</v>
      </c>
      <c r="M50" s="321">
        <f t="shared" si="2"/>
        <v>4.1041298296307311E-4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1.3231546884034827E-2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4.1041298296307311E-4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3675.4296900096742</v>
      </c>
      <c r="H54" s="21">
        <f t="shared" si="3"/>
        <v>0</v>
      </c>
      <c r="I54" s="21">
        <f t="shared" si="3"/>
        <v>0</v>
      </c>
      <c r="J54" s="21">
        <f t="shared" si="3"/>
        <v>0</v>
      </c>
      <c r="K54" s="21">
        <f t="shared" si="3"/>
        <v>0</v>
      </c>
      <c r="L54" s="21">
        <f t="shared" si="3"/>
        <v>0</v>
      </c>
      <c r="M54" s="21">
        <f t="shared" si="3"/>
        <v>114.00360637863142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0.19081150369475375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981.33972723258307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95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3"/>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23" t="s">
        <v>241</v>
      </c>
      <c r="B1" s="1223" t="s">
        <v>242</v>
      </c>
      <c r="C1" s="1230" t="s">
        <v>243</v>
      </c>
      <c r="D1" s="1231"/>
      <c r="E1" s="1231"/>
      <c r="F1" s="1231"/>
      <c r="G1" s="1231"/>
      <c r="H1" s="1231"/>
      <c r="I1" s="1231"/>
      <c r="J1" s="1231"/>
      <c r="K1" s="1231"/>
      <c r="L1" s="1232"/>
      <c r="M1" s="1227" t="s">
        <v>244</v>
      </c>
      <c r="N1" s="1244" t="s">
        <v>550</v>
      </c>
      <c r="O1" s="1227"/>
      <c r="Q1" s="1222"/>
      <c r="R1" s="1222"/>
      <c r="S1" s="1222"/>
    </row>
    <row r="2" spans="1:19" s="563" customFormat="1" ht="15.75" thickBot="1">
      <c r="A2" s="1224"/>
      <c r="B2" s="1224"/>
      <c r="C2" s="1233" t="s">
        <v>197</v>
      </c>
      <c r="D2" s="1234"/>
      <c r="E2" s="1234"/>
      <c r="F2" s="1234"/>
      <c r="G2" s="1235"/>
      <c r="H2" s="1236" t="s">
        <v>245</v>
      </c>
      <c r="I2" s="1238" t="s">
        <v>246</v>
      </c>
      <c r="J2" s="1238" t="s">
        <v>234</v>
      </c>
      <c r="K2" s="1238" t="s">
        <v>247</v>
      </c>
      <c r="L2" s="1220" t="s">
        <v>127</v>
      </c>
      <c r="M2" s="1228"/>
      <c r="N2" s="1245"/>
      <c r="O2" s="1228"/>
      <c r="Q2" s="1222"/>
      <c r="R2" s="1222"/>
      <c r="S2" s="1222"/>
    </row>
    <row r="3" spans="1:19" s="563" customFormat="1" ht="53.45" customHeight="1" thickBot="1">
      <c r="A3" s="1225"/>
      <c r="B3" s="1226"/>
      <c r="C3" s="564" t="s">
        <v>199</v>
      </c>
      <c r="D3" s="565" t="s">
        <v>200</v>
      </c>
      <c r="E3" s="566" t="s">
        <v>201</v>
      </c>
      <c r="F3" s="567" t="s">
        <v>203</v>
      </c>
      <c r="G3" s="568" t="s">
        <v>204</v>
      </c>
      <c r="H3" s="1237"/>
      <c r="I3" s="1239"/>
      <c r="J3" s="1239"/>
      <c r="K3" s="1239"/>
      <c r="L3" s="1221"/>
      <c r="M3" s="1229"/>
      <c r="N3" s="1226"/>
      <c r="O3" s="1229"/>
      <c r="Q3" s="1222"/>
      <c r="R3" s="1222"/>
      <c r="S3" s="1222"/>
    </row>
    <row r="4" spans="1:19" s="563" customFormat="1" ht="15.75" thickTop="1">
      <c r="A4" s="569" t="s">
        <v>249</v>
      </c>
      <c r="B4" s="570">
        <f>IF(ISERROR(kWh_wind_land),0,kWh_wind_land)</f>
        <v>0</v>
      </c>
      <c r="C4" s="1208"/>
      <c r="D4" s="1211"/>
      <c r="E4" s="1211"/>
      <c r="F4" s="1214"/>
      <c r="G4" s="1217"/>
      <c r="H4" s="1205"/>
      <c r="I4" s="1211"/>
      <c r="J4" s="1211"/>
      <c r="K4" s="571"/>
      <c r="L4" s="1241"/>
      <c r="M4" s="572"/>
      <c r="N4" s="1253"/>
      <c r="O4" s="1254"/>
      <c r="Q4" s="573"/>
      <c r="R4" s="1240"/>
      <c r="S4" s="1240"/>
    </row>
    <row r="5" spans="1:19" s="563" customFormat="1">
      <c r="A5" s="574" t="s">
        <v>250</v>
      </c>
      <c r="B5" s="570">
        <f>IF(ISERROR(kWh_waterkracht),0,kWh_waterkracht)</f>
        <v>0</v>
      </c>
      <c r="C5" s="1209"/>
      <c r="D5" s="1212"/>
      <c r="E5" s="1212"/>
      <c r="F5" s="1215"/>
      <c r="G5" s="1218"/>
      <c r="H5" s="1206"/>
      <c r="I5" s="1212"/>
      <c r="J5" s="1212"/>
      <c r="K5" s="1212"/>
      <c r="L5" s="1242"/>
      <c r="M5" s="575"/>
      <c r="N5" s="1255"/>
      <c r="O5" s="1256"/>
      <c r="Q5" s="573"/>
      <c r="R5" s="1240"/>
      <c r="S5" s="1240"/>
    </row>
    <row r="6" spans="1:19" s="563" customFormat="1">
      <c r="A6" s="574" t="s">
        <v>251</v>
      </c>
      <c r="B6" s="570">
        <f>IF(ISERROR((kWh_PV_kleiner_dan_10kW+kWh_PV_groter_dan_10kW)),0,(kWh_PV_kleiner_dan_10kW+kWh_PV_groter_dan_10kW))</f>
        <v>5150.93304930881</v>
      </c>
      <c r="C6" s="1210"/>
      <c r="D6" s="1213"/>
      <c r="E6" s="1213"/>
      <c r="F6" s="1216"/>
      <c r="G6" s="1219"/>
      <c r="H6" s="1207"/>
      <c r="I6" s="1213"/>
      <c r="J6" s="1213"/>
      <c r="K6" s="1213"/>
      <c r="L6" s="1243"/>
      <c r="M6" s="575"/>
      <c r="N6" s="1255"/>
      <c r="O6" s="1256"/>
      <c r="Q6" s="573"/>
      <c r="R6" s="1240"/>
      <c r="S6" s="1240"/>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255"/>
      <c r="O7" s="1256"/>
      <c r="Q7" s="573"/>
      <c r="R7" s="1240"/>
      <c r="S7" s="1240"/>
    </row>
    <row r="8" spans="1:19" s="563" customFormat="1" ht="17.45" customHeight="1" thickBot="1">
      <c r="A8" s="584" t="s">
        <v>248</v>
      </c>
      <c r="B8" s="585">
        <f>N88+'Eigen informatie GS &amp; warmtenet'!B12</f>
        <v>814.5</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2327.1428571428573</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57"/>
      <c r="O8" s="1258"/>
      <c r="P8" s="591"/>
      <c r="Q8" s="573"/>
      <c r="R8" s="1240"/>
      <c r="S8" s="1240"/>
    </row>
    <row r="9" spans="1:19" s="563" customFormat="1" ht="16.5" thickTop="1" thickBot="1">
      <c r="A9" s="592" t="s">
        <v>116</v>
      </c>
      <c r="B9" s="593">
        <f>SUM(B4:B8)</f>
        <v>5965.43304930881</v>
      </c>
      <c r="C9" s="594">
        <f t="shared" ref="C9:L9" si="0">SUM(C7:C8)</f>
        <v>0</v>
      </c>
      <c r="D9" s="594">
        <f t="shared" si="0"/>
        <v>0</v>
      </c>
      <c r="E9" s="594">
        <f t="shared" si="0"/>
        <v>0</v>
      </c>
      <c r="F9" s="594">
        <f t="shared" si="0"/>
        <v>0</v>
      </c>
      <c r="G9" s="594">
        <f t="shared" si="0"/>
        <v>0</v>
      </c>
      <c r="H9" s="594">
        <f t="shared" si="0"/>
        <v>0</v>
      </c>
      <c r="I9" s="594">
        <f t="shared" si="0"/>
        <v>0</v>
      </c>
      <c r="J9" s="594">
        <f t="shared" si="0"/>
        <v>2327.1428571428573</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23" t="s">
        <v>253</v>
      </c>
      <c r="B13" s="1223" t="s">
        <v>254</v>
      </c>
      <c r="C13" s="1230" t="s">
        <v>255</v>
      </c>
      <c r="D13" s="1231"/>
      <c r="E13" s="1231"/>
      <c r="F13" s="1231"/>
      <c r="G13" s="1231"/>
      <c r="H13" s="1231"/>
      <c r="I13" s="1231"/>
      <c r="J13" s="1231"/>
      <c r="K13" s="1231"/>
      <c r="L13" s="1232"/>
      <c r="M13" s="1227" t="s">
        <v>244</v>
      </c>
      <c r="N13" s="1244" t="s">
        <v>256</v>
      </c>
      <c r="O13" s="1227"/>
      <c r="P13" s="1222"/>
      <c r="Q13" s="1222"/>
      <c r="R13" s="1222"/>
    </row>
    <row r="14" spans="1:19" s="563" customFormat="1" ht="15.75" thickBot="1">
      <c r="A14" s="1224"/>
      <c r="B14" s="1224"/>
      <c r="C14" s="1246" t="s">
        <v>197</v>
      </c>
      <c r="D14" s="1247"/>
      <c r="E14" s="1247"/>
      <c r="F14" s="1247"/>
      <c r="G14" s="1248"/>
      <c r="H14" s="1249" t="s">
        <v>245</v>
      </c>
      <c r="I14" s="1249" t="s">
        <v>246</v>
      </c>
      <c r="J14" s="1250" t="s">
        <v>234</v>
      </c>
      <c r="K14" s="1238" t="s">
        <v>257</v>
      </c>
      <c r="L14" s="1220" t="s">
        <v>127</v>
      </c>
      <c r="M14" s="1228"/>
      <c r="N14" s="1245"/>
      <c r="O14" s="1228"/>
      <c r="P14" s="1222"/>
      <c r="Q14" s="1222"/>
      <c r="R14" s="1222"/>
    </row>
    <row r="15" spans="1:19" s="563" customFormat="1" ht="40.700000000000003" customHeight="1" thickBot="1">
      <c r="A15" s="1225"/>
      <c r="B15" s="1225"/>
      <c r="C15" s="605" t="s">
        <v>199</v>
      </c>
      <c r="D15" s="565" t="s">
        <v>200</v>
      </c>
      <c r="E15" s="606" t="s">
        <v>201</v>
      </c>
      <c r="F15" s="565" t="s">
        <v>203</v>
      </c>
      <c r="G15" s="607" t="s">
        <v>204</v>
      </c>
      <c r="H15" s="1237"/>
      <c r="I15" s="1237"/>
      <c r="J15" s="1251"/>
      <c r="K15" s="1239"/>
      <c r="L15" s="1252"/>
      <c r="M15" s="1229"/>
      <c r="N15" s="1226"/>
      <c r="O15" s="1229"/>
      <c r="P15" s="1222"/>
      <c r="Q15" s="1222"/>
      <c r="R15" s="1222"/>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262"/>
      <c r="O16" s="1263"/>
      <c r="P16" s="616"/>
      <c r="Q16" s="1264"/>
      <c r="R16" s="1264"/>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65"/>
      <c r="O17" s="1266"/>
      <c r="P17" s="573"/>
      <c r="Q17" s="1240"/>
      <c r="R17" s="1240"/>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67"/>
      <c r="O18" s="1268"/>
      <c r="P18" s="573"/>
      <c r="Q18" s="1240"/>
      <c r="R18" s="1240"/>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259"/>
      <c r="O19" s="1260"/>
      <c r="P19" s="573"/>
      <c r="Q19" s="1261"/>
      <c r="R19" s="1261"/>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537</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537</v>
      </c>
      <c r="Q62" s="669" t="s">
        <v>103</v>
      </c>
      <c r="R62" s="669" t="s">
        <v>104</v>
      </c>
      <c r="S62" s="669" t="s">
        <v>105</v>
      </c>
      <c r="T62" s="669" t="s">
        <v>106</v>
      </c>
      <c r="U62" s="669" t="s">
        <v>107</v>
      </c>
      <c r="V62" s="669" t="s">
        <v>108</v>
      </c>
      <c r="W62" s="668" t="s">
        <v>109</v>
      </c>
      <c r="X62" s="668" t="s">
        <v>299</v>
      </c>
      <c r="Y62" s="668" t="s">
        <v>110</v>
      </c>
      <c r="Z62" s="670" t="s">
        <v>300</v>
      </c>
    </row>
    <row r="63" spans="1:26" s="640" customFormat="1" ht="63.75">
      <c r="A63" s="626"/>
      <c r="B63" s="851">
        <v>24066</v>
      </c>
      <c r="C63" s="851">
        <v>3210</v>
      </c>
      <c r="D63" s="674" t="s">
        <v>855</v>
      </c>
      <c r="E63" s="674" t="s">
        <v>856</v>
      </c>
      <c r="F63" s="674" t="s">
        <v>857</v>
      </c>
      <c r="G63" s="674" t="s">
        <v>858</v>
      </c>
      <c r="H63" s="674" t="s">
        <v>859</v>
      </c>
      <c r="I63" s="674" t="s">
        <v>860</v>
      </c>
      <c r="J63" s="850">
        <v>34344</v>
      </c>
      <c r="K63" s="850">
        <v>37803</v>
      </c>
      <c r="L63" s="674" t="s">
        <v>861</v>
      </c>
      <c r="M63" s="674">
        <v>181</v>
      </c>
      <c r="N63" s="674">
        <v>814.5</v>
      </c>
      <c r="O63" s="674">
        <v>0</v>
      </c>
      <c r="P63" s="674">
        <v>0</v>
      </c>
      <c r="Q63" s="674">
        <v>0</v>
      </c>
      <c r="R63" s="674">
        <v>2327.1428571428573</v>
      </c>
      <c r="S63" s="674">
        <v>0</v>
      </c>
      <c r="T63" s="674">
        <v>0</v>
      </c>
      <c r="U63" s="674">
        <v>0</v>
      </c>
      <c r="V63" s="674">
        <v>0</v>
      </c>
      <c r="W63" s="674">
        <v>0</v>
      </c>
      <c r="X63" s="674">
        <v>1600</v>
      </c>
      <c r="Y63" s="674" t="s">
        <v>50</v>
      </c>
      <c r="Z63" s="675" t="s">
        <v>156</v>
      </c>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181</v>
      </c>
      <c r="N88" s="629">
        <f t="shared" ref="N88:W88" si="5">SUM(N63:N87)</f>
        <v>814.5</v>
      </c>
      <c r="O88" s="629">
        <f t="shared" si="5"/>
        <v>0</v>
      </c>
      <c r="P88" s="629">
        <f t="shared" si="5"/>
        <v>0</v>
      </c>
      <c r="Q88" s="629">
        <f t="shared" si="5"/>
        <v>0</v>
      </c>
      <c r="R88" s="629">
        <f t="shared" si="5"/>
        <v>2327.1428571428573</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181</v>
      </c>
      <c r="N90" s="629">
        <f t="shared" ref="N90:W90" si="7">SUMIF($Z$63:$Z$88,"tertiair",N63:N88)</f>
        <v>814.5</v>
      </c>
      <c r="O90" s="629">
        <f t="shared" si="7"/>
        <v>0</v>
      </c>
      <c r="P90" s="629">
        <f t="shared" si="7"/>
        <v>0</v>
      </c>
      <c r="Q90" s="629">
        <f t="shared" si="7"/>
        <v>0</v>
      </c>
      <c r="R90" s="629">
        <f t="shared" si="7"/>
        <v>2327.1428571428573</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537</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969" t="s">
        <v>753</v>
      </c>
      <c r="G2" s="969" t="s">
        <v>752</v>
      </c>
      <c r="H2" s="969" t="s">
        <v>754</v>
      </c>
    </row>
    <row r="3" spans="1:8" s="11" customFormat="1">
      <c r="A3" s="373" t="s">
        <v>755</v>
      </c>
      <c r="B3" s="1004" t="s">
        <v>758</v>
      </c>
      <c r="C3" s="373" t="s">
        <v>757</v>
      </c>
      <c r="D3" s="373" t="s">
        <v>759</v>
      </c>
      <c r="E3" s="374"/>
      <c r="F3" s="371" t="s">
        <v>762</v>
      </c>
      <c r="G3" s="371" t="s">
        <v>770</v>
      </c>
      <c r="H3" s="372" t="s">
        <v>771</v>
      </c>
    </row>
    <row r="4" spans="1:8" s="11" customFormat="1">
      <c r="A4" s="373" t="s">
        <v>717</v>
      </c>
      <c r="B4" s="1004" t="s">
        <v>724</v>
      </c>
      <c r="C4" s="373" t="s">
        <v>193</v>
      </c>
      <c r="D4" s="1005" t="s">
        <v>756</v>
      </c>
      <c r="E4" s="374"/>
      <c r="F4" s="969" t="s">
        <v>753</v>
      </c>
      <c r="G4" s="969" t="s">
        <v>752</v>
      </c>
      <c r="H4" s="969" t="s">
        <v>754</v>
      </c>
    </row>
    <row r="5" spans="1:8" s="11" customFormat="1">
      <c r="A5" s="373" t="s">
        <v>407</v>
      </c>
      <c r="B5" s="859" t="s">
        <v>725</v>
      </c>
      <c r="C5" s="373" t="s">
        <v>407</v>
      </c>
      <c r="D5" s="373" t="s">
        <v>765</v>
      </c>
      <c r="E5" s="374"/>
      <c r="F5" s="969" t="s">
        <v>749</v>
      </c>
      <c r="G5" s="969" t="s">
        <v>750</v>
      </c>
      <c r="H5" s="969" t="s">
        <v>751</v>
      </c>
    </row>
    <row r="6" spans="1:8">
      <c r="A6" s="368" t="s">
        <v>400</v>
      </c>
      <c r="B6" s="96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958" customFormat="1">
      <c r="A9" s="373" t="s">
        <v>760</v>
      </c>
      <c r="B9" s="859">
        <v>2015</v>
      </c>
      <c r="C9" s="373" t="s">
        <v>407</v>
      </c>
      <c r="D9" s="373" t="s">
        <v>768</v>
      </c>
      <c r="E9" s="370" t="s">
        <v>761</v>
      </c>
      <c r="F9" s="371"/>
      <c r="G9" s="371"/>
      <c r="H9" s="372"/>
    </row>
    <row r="10" spans="1:8" s="958" customFormat="1">
      <c r="A10" s="373" t="s">
        <v>783</v>
      </c>
      <c r="B10" s="859">
        <v>2017</v>
      </c>
      <c r="C10" s="373" t="s">
        <v>785</v>
      </c>
      <c r="D10" s="373" t="s">
        <v>784</v>
      </c>
      <c r="E10" s="375" t="s">
        <v>773</v>
      </c>
      <c r="F10" s="371"/>
      <c r="G10" s="371"/>
      <c r="H10" s="372"/>
    </row>
    <row r="11" spans="1:8" s="11" customFormat="1">
      <c r="A11" s="373" t="s">
        <v>630</v>
      </c>
      <c r="B11" s="1004" t="str">
        <f>"juni 2016"</f>
        <v>juni 2016</v>
      </c>
      <c r="C11" s="373" t="s">
        <v>631</v>
      </c>
      <c r="D11" s="373" t="s">
        <v>632</v>
      </c>
      <c r="E11" s="374"/>
      <c r="F11" s="969" t="s">
        <v>735</v>
      </c>
      <c r="G11" s="969" t="s">
        <v>736</v>
      </c>
      <c r="H11" s="372" t="s">
        <v>737</v>
      </c>
    </row>
    <row r="12" spans="1:8">
      <c r="A12" s="368" t="s">
        <v>740</v>
      </c>
      <c r="B12" s="965" t="s">
        <v>725</v>
      </c>
      <c r="C12" s="368" t="s">
        <v>741</v>
      </c>
      <c r="D12" s="368" t="s">
        <v>769</v>
      </c>
      <c r="E12" s="717"/>
      <c r="F12" s="371" t="s">
        <v>744</v>
      </c>
      <c r="G12" s="371" t="s">
        <v>742</v>
      </c>
      <c r="H12" s="372" t="s">
        <v>743</v>
      </c>
    </row>
    <row r="13" spans="1:8" s="958" customFormat="1">
      <c r="A13" s="373" t="s">
        <v>764</v>
      </c>
      <c r="B13" s="859">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965" t="s">
        <v>745</v>
      </c>
      <c r="C16" s="368" t="s">
        <v>408</v>
      </c>
      <c r="D16" s="368" t="s">
        <v>422</v>
      </c>
      <c r="E16" s="370"/>
      <c r="F16" s="371" t="s">
        <v>796</v>
      </c>
      <c r="G16" s="371" t="s">
        <v>797</v>
      </c>
      <c r="H16" s="372" t="s">
        <v>798</v>
      </c>
    </row>
    <row r="17" spans="1:8" s="966" customFormat="1">
      <c r="A17" s="970" t="s">
        <v>509</v>
      </c>
      <c r="B17" s="971" t="s">
        <v>380</v>
      </c>
      <c r="C17" s="970" t="s">
        <v>378</v>
      </c>
      <c r="D17" s="972" t="s">
        <v>379</v>
      </c>
      <c r="E17" s="973" t="s">
        <v>381</v>
      </c>
      <c r="F17" s="371" t="s">
        <v>729</v>
      </c>
      <c r="G17" s="371" t="s">
        <v>738</v>
      </c>
      <c r="H17" s="372" t="s">
        <v>739</v>
      </c>
    </row>
    <row r="18" spans="1:8" s="966" customFormat="1">
      <c r="A18" s="970" t="s">
        <v>509</v>
      </c>
      <c r="B18" s="971" t="s">
        <v>790</v>
      </c>
      <c r="C18" s="970" t="s">
        <v>791</v>
      </c>
      <c r="D18" s="972" t="s">
        <v>792</v>
      </c>
      <c r="E18" s="973"/>
      <c r="F18" s="371" t="s">
        <v>729</v>
      </c>
      <c r="G18" s="371" t="s">
        <v>738</v>
      </c>
      <c r="H18" s="372" t="s">
        <v>739</v>
      </c>
    </row>
    <row r="19" spans="1:8" s="11" customFormat="1">
      <c r="A19" s="373" t="s">
        <v>508</v>
      </c>
      <c r="B19" s="859">
        <v>2016</v>
      </c>
      <c r="C19" s="373" t="s">
        <v>426</v>
      </c>
      <c r="D19" s="373" t="s">
        <v>731</v>
      </c>
      <c r="E19" s="374" t="s">
        <v>730</v>
      </c>
      <c r="F19" s="371" t="s">
        <v>729</v>
      </c>
      <c r="G19" s="371" t="s">
        <v>738</v>
      </c>
      <c r="H19" s="372" t="s">
        <v>739</v>
      </c>
    </row>
    <row r="20" spans="1:8">
      <c r="A20" s="373" t="s">
        <v>193</v>
      </c>
      <c r="B20" s="859" t="s">
        <v>724</v>
      </c>
      <c r="C20" s="373" t="s">
        <v>427</v>
      </c>
      <c r="D20" s="373" t="s">
        <v>728</v>
      </c>
      <c r="E20" s="370"/>
      <c r="F20" s="371" t="s">
        <v>428</v>
      </c>
      <c r="G20" s="371" t="s">
        <v>429</v>
      </c>
      <c r="H20" s="372" t="s">
        <v>430</v>
      </c>
    </row>
    <row r="21" spans="1:8" s="958" customFormat="1">
      <c r="A21" s="373" t="s">
        <v>408</v>
      </c>
      <c r="B21" s="859" t="s">
        <v>793</v>
      </c>
      <c r="C21" s="373" t="s">
        <v>408</v>
      </c>
      <c r="D21" s="373" t="s">
        <v>794</v>
      </c>
      <c r="E21" s="370"/>
      <c r="F21" s="371" t="s">
        <v>802</v>
      </c>
      <c r="G21" s="371" t="s">
        <v>803</v>
      </c>
      <c r="H21" s="372" t="s">
        <v>804</v>
      </c>
    </row>
    <row r="22" spans="1:8" s="958" customFormat="1">
      <c r="A22" s="373" t="s">
        <v>408</v>
      </c>
      <c r="B22" s="859" t="s">
        <v>790</v>
      </c>
      <c r="C22" s="373" t="s">
        <v>408</v>
      </c>
      <c r="D22" s="373" t="s">
        <v>795</v>
      </c>
      <c r="E22" s="370"/>
      <c r="F22" s="371" t="s">
        <v>799</v>
      </c>
      <c r="G22" s="371" t="s">
        <v>800</v>
      </c>
      <c r="H22" s="372" t="s">
        <v>801</v>
      </c>
    </row>
    <row r="23" spans="1:8" s="11" customFormat="1">
      <c r="A23" s="373" t="s">
        <v>406</v>
      </c>
      <c r="B23" s="1004" t="str">
        <f>"november 2016"</f>
        <v>november 2016</v>
      </c>
      <c r="C23" s="373" t="s">
        <v>406</v>
      </c>
      <c r="D23" s="373" t="s">
        <v>657</v>
      </c>
      <c r="E23" s="374" t="s">
        <v>658</v>
      </c>
      <c r="F23" s="371" t="s">
        <v>805</v>
      </c>
      <c r="G23" s="371" t="s">
        <v>806</v>
      </c>
      <c r="H23" s="372" t="s">
        <v>807</v>
      </c>
    </row>
    <row r="24" spans="1:8" s="11" customFormat="1">
      <c r="A24" s="373" t="s">
        <v>406</v>
      </c>
      <c r="B24" s="1004" t="str">
        <f>"november 2016"</f>
        <v>november 2016</v>
      </c>
      <c r="C24" s="373" t="s">
        <v>406</v>
      </c>
      <c r="D24" s="1005" t="s">
        <v>635</v>
      </c>
      <c r="E24" s="374" t="s">
        <v>423</v>
      </c>
      <c r="F24" s="371" t="s">
        <v>805</v>
      </c>
      <c r="G24" s="371" t="s">
        <v>806</v>
      </c>
      <c r="H24" s="372" t="s">
        <v>807</v>
      </c>
    </row>
    <row r="27" spans="1:8">
      <c r="F27" s="958"/>
      <c r="G27" s="958"/>
    </row>
    <row r="28" spans="1:8">
      <c r="F28" s="958"/>
      <c r="G28" s="95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69" t="s">
        <v>221</v>
      </c>
      <c r="B2" s="1069"/>
      <c r="C2" s="1069"/>
      <c r="D2" s="59"/>
      <c r="E2" s="59"/>
      <c r="F2" s="59"/>
      <c r="G2" s="59"/>
      <c r="H2" s="60"/>
      <c r="I2" s="60"/>
      <c r="J2" s="61"/>
      <c r="K2" s="61"/>
      <c r="L2" s="60"/>
      <c r="M2" s="60"/>
      <c r="N2" s="60"/>
      <c r="O2" s="60"/>
      <c r="P2" s="60"/>
      <c r="Q2" s="60"/>
      <c r="R2" s="60"/>
    </row>
    <row r="3" spans="1:19">
      <c r="A3" s="1070"/>
      <c r="B3" s="1070"/>
      <c r="C3" s="1070"/>
      <c r="D3" s="1070"/>
      <c r="E3" s="1070"/>
      <c r="F3" s="1070"/>
      <c r="G3" s="1070"/>
      <c r="H3" s="1070"/>
      <c r="I3" s="1070"/>
      <c r="J3" s="1070"/>
      <c r="K3" s="1070"/>
      <c r="L3" s="1070"/>
      <c r="M3" s="1070"/>
      <c r="N3" s="1070"/>
      <c r="O3" s="1070"/>
      <c r="P3" s="1070"/>
      <c r="Q3" s="1070"/>
      <c r="R3" s="1070"/>
    </row>
    <row r="4" spans="1:19" ht="15.75" thickBot="1">
      <c r="A4" s="473"/>
      <c r="B4" s="473"/>
      <c r="C4" s="63"/>
      <c r="D4" s="63"/>
      <c r="E4" s="63"/>
      <c r="F4" s="63"/>
      <c r="G4" s="63"/>
      <c r="H4" s="63"/>
      <c r="I4" s="63"/>
      <c r="J4" s="63"/>
      <c r="K4" s="63"/>
      <c r="L4" s="63"/>
      <c r="M4" s="63"/>
      <c r="N4" s="63"/>
      <c r="O4" s="63"/>
      <c r="P4" s="63"/>
      <c r="Q4" s="63"/>
      <c r="R4" s="63"/>
    </row>
    <row r="5" spans="1:19" ht="16.5" thickBot="1">
      <c r="A5" s="1071" t="s">
        <v>222</v>
      </c>
      <c r="B5" s="860"/>
      <c r="C5" s="1074" t="s">
        <v>343</v>
      </c>
      <c r="D5" s="1075"/>
      <c r="E5" s="1075"/>
      <c r="F5" s="1075"/>
      <c r="G5" s="1075"/>
      <c r="H5" s="1075"/>
      <c r="I5" s="1075"/>
      <c r="J5" s="1075"/>
      <c r="K5" s="1075"/>
      <c r="L5" s="1075"/>
      <c r="M5" s="1075"/>
      <c r="N5" s="1075"/>
      <c r="O5" s="1075"/>
      <c r="P5" s="1075"/>
      <c r="Q5" s="1075"/>
      <c r="R5" s="1076"/>
    </row>
    <row r="6" spans="1:19" ht="16.5" thickTop="1">
      <c r="A6" s="1072"/>
      <c r="B6" s="861"/>
      <c r="C6" s="1077" t="s">
        <v>21</v>
      </c>
      <c r="D6" s="1079" t="s">
        <v>196</v>
      </c>
      <c r="E6" s="1081" t="s">
        <v>197</v>
      </c>
      <c r="F6" s="1082"/>
      <c r="G6" s="1082"/>
      <c r="H6" s="1082"/>
      <c r="I6" s="1082"/>
      <c r="J6" s="1082"/>
      <c r="K6" s="1082"/>
      <c r="L6" s="1083"/>
      <c r="M6" s="1081" t="s">
        <v>198</v>
      </c>
      <c r="N6" s="1082"/>
      <c r="O6" s="1082"/>
      <c r="P6" s="1082"/>
      <c r="Q6" s="1082"/>
      <c r="R6" s="1084" t="s">
        <v>116</v>
      </c>
    </row>
    <row r="7" spans="1:19" ht="45.75" thickBot="1">
      <c r="A7" s="1073"/>
      <c r="B7" s="862"/>
      <c r="C7" s="1078"/>
      <c r="D7" s="1080"/>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85"/>
    </row>
    <row r="8" spans="1:19" ht="18.75" customHeight="1" thickTop="1">
      <c r="A8" s="869" t="s">
        <v>344</v>
      </c>
      <c r="B8" s="874"/>
      <c r="C8" s="1086"/>
      <c r="D8" s="1086"/>
      <c r="E8" s="1086"/>
      <c r="F8" s="1086"/>
      <c r="G8" s="1086"/>
      <c r="H8" s="1086"/>
      <c r="I8" s="1086"/>
      <c r="J8" s="1086"/>
      <c r="K8" s="1086"/>
      <c r="L8" s="1086"/>
      <c r="M8" s="1086"/>
      <c r="N8" s="1086"/>
      <c r="O8" s="1086"/>
      <c r="P8" s="1086"/>
      <c r="Q8" s="1086"/>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15043.079</v>
      </c>
      <c r="D10" s="718">
        <f ca="1">tertiair!C16</f>
        <v>0</v>
      </c>
      <c r="E10" s="718">
        <f ca="1">tertiair!D16</f>
        <v>7083.2274040000011</v>
      </c>
      <c r="F10" s="718">
        <f>tertiair!E16</f>
        <v>210.6977849858161</v>
      </c>
      <c r="G10" s="718">
        <f ca="1">tertiair!F16</f>
        <v>3065.9330207764792</v>
      </c>
      <c r="H10" s="718">
        <f>tertiair!G16</f>
        <v>0</v>
      </c>
      <c r="I10" s="718">
        <f>tertiair!H16</f>
        <v>0</v>
      </c>
      <c r="J10" s="718">
        <f>tertiair!I16</f>
        <v>0</v>
      </c>
      <c r="K10" s="718">
        <f>tertiair!J16</f>
        <v>0</v>
      </c>
      <c r="L10" s="718">
        <f>tertiair!K16</f>
        <v>0</v>
      </c>
      <c r="M10" s="718">
        <f ca="1">tertiair!L16</f>
        <v>0</v>
      </c>
      <c r="N10" s="718">
        <f>tertiair!M16</f>
        <v>0</v>
      </c>
      <c r="O10" s="718">
        <f ca="1">tertiair!N16</f>
        <v>0</v>
      </c>
      <c r="P10" s="718">
        <f>tertiair!O16</f>
        <v>4.6900000000000004</v>
      </c>
      <c r="Q10" s="719">
        <f>tertiair!P16</f>
        <v>38.133333333333333</v>
      </c>
      <c r="R10" s="721">
        <f ca="1">SUM(C10:Q10)</f>
        <v>25445.760543095632</v>
      </c>
      <c r="S10" s="67"/>
    </row>
    <row r="11" spans="1:19" s="474" customFormat="1">
      <c r="A11" s="870" t="s">
        <v>225</v>
      </c>
      <c r="B11" s="875"/>
      <c r="C11" s="718">
        <f>huishoudens!B8</f>
        <v>26361.375439432857</v>
      </c>
      <c r="D11" s="718">
        <f>huishoudens!C8</f>
        <v>0</v>
      </c>
      <c r="E11" s="718">
        <f>huishoudens!D8</f>
        <v>30984.662434000002</v>
      </c>
      <c r="F11" s="718">
        <f>huishoudens!E8</f>
        <v>4084.7905352688581</v>
      </c>
      <c r="G11" s="718">
        <f>huishoudens!F8</f>
        <v>55563.401035948707</v>
      </c>
      <c r="H11" s="718">
        <f>huishoudens!G8</f>
        <v>0</v>
      </c>
      <c r="I11" s="718">
        <f>huishoudens!H8</f>
        <v>0</v>
      </c>
      <c r="J11" s="718">
        <f>huishoudens!I8</f>
        <v>0</v>
      </c>
      <c r="K11" s="718">
        <f>huishoudens!J8</f>
        <v>0</v>
      </c>
      <c r="L11" s="718">
        <f>huishoudens!K8</f>
        <v>0</v>
      </c>
      <c r="M11" s="718">
        <f>huishoudens!L8</f>
        <v>0</v>
      </c>
      <c r="N11" s="718">
        <f>huishoudens!M8</f>
        <v>0</v>
      </c>
      <c r="O11" s="718">
        <f>huishoudens!N8</f>
        <v>7457.8336421118411</v>
      </c>
      <c r="P11" s="718">
        <f>huishoudens!O8</f>
        <v>322.04666666666668</v>
      </c>
      <c r="Q11" s="719">
        <f>huishoudens!P8</f>
        <v>972.4</v>
      </c>
      <c r="R11" s="721">
        <f>SUM(C11:Q11)</f>
        <v>125746.50975342892</v>
      </c>
      <c r="S11" s="67"/>
    </row>
    <row r="12" spans="1:19" s="474" customFormat="1">
      <c r="A12" s="870" t="s">
        <v>504</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641</v>
      </c>
      <c r="B13" s="880" t="s">
        <v>639</v>
      </c>
      <c r="C13" s="718">
        <f>industrie!B18</f>
        <v>1447.058</v>
      </c>
      <c r="D13" s="718">
        <f>industrie!C18</f>
        <v>0</v>
      </c>
      <c r="E13" s="718">
        <f>industrie!D18</f>
        <v>597.58311800000001</v>
      </c>
      <c r="F13" s="718">
        <f>industrie!E18</f>
        <v>162.40226371215405</v>
      </c>
      <c r="G13" s="718">
        <f>industrie!F18</f>
        <v>642.77694185093117</v>
      </c>
      <c r="H13" s="718">
        <f>industrie!G18</f>
        <v>0</v>
      </c>
      <c r="I13" s="718">
        <f>industrie!H18</f>
        <v>0</v>
      </c>
      <c r="J13" s="718">
        <f>industrie!I18</f>
        <v>0</v>
      </c>
      <c r="K13" s="718">
        <f>industrie!J18</f>
        <v>7.6245603726004338</v>
      </c>
      <c r="L13" s="718">
        <f>industrie!K18</f>
        <v>0</v>
      </c>
      <c r="M13" s="718">
        <f>industrie!L18</f>
        <v>0</v>
      </c>
      <c r="N13" s="718">
        <f>industrie!M18</f>
        <v>0</v>
      </c>
      <c r="O13" s="718">
        <f>industrie!N18</f>
        <v>491.38859544125143</v>
      </c>
      <c r="P13" s="718">
        <f>industrie!O18</f>
        <v>0</v>
      </c>
      <c r="Q13" s="719">
        <f>industrie!P18</f>
        <v>0</v>
      </c>
      <c r="R13" s="721">
        <f>SUM(C13:Q13)</f>
        <v>3348.8334793769368</v>
      </c>
      <c r="S13" s="67"/>
    </row>
    <row r="14" spans="1:19" s="474" customFormat="1" ht="15" thickBot="1">
      <c r="A14" s="870"/>
      <c r="B14" s="881" t="s">
        <v>640</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42851.512439432852</v>
      </c>
      <c r="D15" s="723">
        <f t="shared" ref="D15:Q15" ca="1" si="0">SUM(D9:D14)</f>
        <v>0</v>
      </c>
      <c r="E15" s="723">
        <f t="shared" ca="1" si="0"/>
        <v>38665.472956000005</v>
      </c>
      <c r="F15" s="723">
        <f t="shared" si="0"/>
        <v>4457.8905839668287</v>
      </c>
      <c r="G15" s="723">
        <f t="shared" ca="1" si="0"/>
        <v>59272.110998576121</v>
      </c>
      <c r="H15" s="723">
        <f t="shared" si="0"/>
        <v>0</v>
      </c>
      <c r="I15" s="723">
        <f t="shared" si="0"/>
        <v>0</v>
      </c>
      <c r="J15" s="723">
        <f t="shared" si="0"/>
        <v>0</v>
      </c>
      <c r="K15" s="723">
        <f t="shared" si="0"/>
        <v>7.6245603726004338</v>
      </c>
      <c r="L15" s="723">
        <f t="shared" si="0"/>
        <v>0</v>
      </c>
      <c r="M15" s="723">
        <f t="shared" ca="1" si="0"/>
        <v>0</v>
      </c>
      <c r="N15" s="723">
        <f t="shared" si="0"/>
        <v>0</v>
      </c>
      <c r="O15" s="723">
        <f t="shared" ca="1" si="0"/>
        <v>7949.2222375530928</v>
      </c>
      <c r="P15" s="723">
        <f t="shared" si="0"/>
        <v>326.73666666666668</v>
      </c>
      <c r="Q15" s="724">
        <f t="shared" si="0"/>
        <v>1010.5333333333333</v>
      </c>
      <c r="R15" s="725">
        <f ca="1">SUM(R9:R14)</f>
        <v>154541.10377590152</v>
      </c>
      <c r="S15" s="67"/>
    </row>
    <row r="16" spans="1:19" s="474" customFormat="1" ht="15.75">
      <c r="A16" s="872" t="s">
        <v>227</v>
      </c>
      <c r="B16" s="768"/>
      <c r="C16" s="1087"/>
      <c r="D16" s="1087"/>
      <c r="E16" s="1087"/>
      <c r="F16" s="1087"/>
      <c r="G16" s="1087"/>
      <c r="H16" s="1087"/>
      <c r="I16" s="1087"/>
      <c r="J16" s="1087"/>
      <c r="K16" s="1087"/>
      <c r="L16" s="1087"/>
      <c r="M16" s="1087"/>
      <c r="N16" s="1087"/>
      <c r="O16" s="1087"/>
      <c r="P16" s="1087"/>
      <c r="Q16" s="1087"/>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3675.4296900096742</v>
      </c>
      <c r="I18" s="718">
        <f>transport!H54</f>
        <v>0</v>
      </c>
      <c r="J18" s="718">
        <f>transport!I54</f>
        <v>0</v>
      </c>
      <c r="K18" s="718">
        <f>transport!J54</f>
        <v>0</v>
      </c>
      <c r="L18" s="718">
        <f>transport!K54</f>
        <v>0</v>
      </c>
      <c r="M18" s="718">
        <f>transport!L54</f>
        <v>0</v>
      </c>
      <c r="N18" s="718">
        <f>transport!M54</f>
        <v>114.00360637863142</v>
      </c>
      <c r="O18" s="718">
        <f>transport!N54</f>
        <v>0</v>
      </c>
      <c r="P18" s="718">
        <f>transport!O54</f>
        <v>0</v>
      </c>
      <c r="Q18" s="719">
        <f>transport!P54</f>
        <v>0</v>
      </c>
      <c r="R18" s="721">
        <f>SUM(C18:Q18)</f>
        <v>3789.4332963883057</v>
      </c>
      <c r="S18" s="67"/>
    </row>
    <row r="19" spans="1:19" s="474" customFormat="1" ht="15" thickBot="1">
      <c r="A19" s="870" t="s">
        <v>307</v>
      </c>
      <c r="B19" s="875"/>
      <c r="C19" s="727">
        <f>transport!B14</f>
        <v>16.4595183392107</v>
      </c>
      <c r="D19" s="727">
        <f>transport!C14</f>
        <v>0</v>
      </c>
      <c r="E19" s="727">
        <f>transport!D14</f>
        <v>40.957440336715003</v>
      </c>
      <c r="F19" s="727">
        <f>transport!E14</f>
        <v>155.57287317293193</v>
      </c>
      <c r="G19" s="727">
        <f>transport!F14</f>
        <v>0</v>
      </c>
      <c r="H19" s="727">
        <f>transport!G14</f>
        <v>55278.90892458021</v>
      </c>
      <c r="I19" s="727">
        <f>transport!H14</f>
        <v>10938.824248786133</v>
      </c>
      <c r="J19" s="727">
        <f>transport!I14</f>
        <v>0</v>
      </c>
      <c r="K19" s="727">
        <f>transport!J14</f>
        <v>0</v>
      </c>
      <c r="L19" s="727">
        <f>transport!K14</f>
        <v>0</v>
      </c>
      <c r="M19" s="727">
        <f>transport!L14</f>
        <v>0</v>
      </c>
      <c r="N19" s="727">
        <f>transport!M14</f>
        <v>2069.3088616720433</v>
      </c>
      <c r="O19" s="727">
        <f>transport!N14</f>
        <v>0</v>
      </c>
      <c r="P19" s="727">
        <f>transport!O14</f>
        <v>0</v>
      </c>
      <c r="Q19" s="728">
        <f>transport!P14</f>
        <v>0</v>
      </c>
      <c r="R19" s="729">
        <f>SUM(C19:Q19)</f>
        <v>68500.03186688725</v>
      </c>
      <c r="S19" s="67"/>
    </row>
    <row r="20" spans="1:19" s="474" customFormat="1" ht="15.75" thickBot="1">
      <c r="A20" s="730" t="s">
        <v>230</v>
      </c>
      <c r="B20" s="878"/>
      <c r="C20" s="873">
        <f>SUM(C17:C19)</f>
        <v>16.4595183392107</v>
      </c>
      <c r="D20" s="731">
        <f t="shared" ref="D20:R20" si="1">SUM(D17:D19)</f>
        <v>0</v>
      </c>
      <c r="E20" s="731">
        <f t="shared" si="1"/>
        <v>40.957440336715003</v>
      </c>
      <c r="F20" s="731">
        <f t="shared" si="1"/>
        <v>155.57287317293193</v>
      </c>
      <c r="G20" s="731">
        <f t="shared" si="1"/>
        <v>0</v>
      </c>
      <c r="H20" s="731">
        <f t="shared" si="1"/>
        <v>58954.338614589884</v>
      </c>
      <c r="I20" s="731">
        <f t="shared" si="1"/>
        <v>10938.824248786133</v>
      </c>
      <c r="J20" s="731">
        <f t="shared" si="1"/>
        <v>0</v>
      </c>
      <c r="K20" s="731">
        <f t="shared" si="1"/>
        <v>0</v>
      </c>
      <c r="L20" s="731">
        <f t="shared" si="1"/>
        <v>0</v>
      </c>
      <c r="M20" s="731">
        <f t="shared" si="1"/>
        <v>0</v>
      </c>
      <c r="N20" s="731">
        <f t="shared" si="1"/>
        <v>2183.3124680506749</v>
      </c>
      <c r="O20" s="731">
        <f t="shared" si="1"/>
        <v>0</v>
      </c>
      <c r="P20" s="731">
        <f t="shared" si="1"/>
        <v>0</v>
      </c>
      <c r="Q20" s="732">
        <f t="shared" si="1"/>
        <v>0</v>
      </c>
      <c r="R20" s="733">
        <f t="shared" si="1"/>
        <v>72289.465163275556</v>
      </c>
      <c r="S20" s="67"/>
    </row>
    <row r="21" spans="1:19" s="474" customFormat="1" ht="15.75">
      <c r="A21" s="872" t="s">
        <v>237</v>
      </c>
      <c r="B21" s="768"/>
      <c r="C21" s="1087"/>
      <c r="D21" s="1087"/>
      <c r="E21" s="1087"/>
      <c r="F21" s="1087"/>
      <c r="G21" s="1087"/>
      <c r="H21" s="1087"/>
      <c r="I21" s="1087"/>
      <c r="J21" s="1087"/>
      <c r="K21" s="1087"/>
      <c r="L21" s="1087"/>
      <c r="M21" s="1087"/>
      <c r="N21" s="1087"/>
      <c r="O21" s="1087"/>
      <c r="P21" s="1087"/>
      <c r="Q21" s="1087"/>
      <c r="R21" s="726"/>
      <c r="S21" s="67"/>
    </row>
    <row r="22" spans="1:19" s="474" customFormat="1" ht="15" thickBot="1">
      <c r="A22" s="870" t="s">
        <v>636</v>
      </c>
      <c r="B22" s="879"/>
      <c r="C22" s="727">
        <f>+landbouw!B8</f>
        <v>802.99099999999999</v>
      </c>
      <c r="D22" s="727">
        <f>+landbouw!C8</f>
        <v>0</v>
      </c>
      <c r="E22" s="727">
        <f>+landbouw!D8</f>
        <v>118.75551599999999</v>
      </c>
      <c r="F22" s="727">
        <f>+landbouw!E8</f>
        <v>20.706054761015206</v>
      </c>
      <c r="G22" s="727">
        <f>+landbouw!F8</f>
        <v>2935.0850272074267</v>
      </c>
      <c r="H22" s="727">
        <f>+landbouw!G8</f>
        <v>0</v>
      </c>
      <c r="I22" s="727">
        <f>+landbouw!H8</f>
        <v>0</v>
      </c>
      <c r="J22" s="727">
        <f>+landbouw!I8</f>
        <v>0</v>
      </c>
      <c r="K22" s="727">
        <f>+landbouw!J8</f>
        <v>115.60116464544943</v>
      </c>
      <c r="L22" s="727">
        <f>+landbouw!K8</f>
        <v>0</v>
      </c>
      <c r="M22" s="727">
        <f>+landbouw!L8</f>
        <v>0</v>
      </c>
      <c r="N22" s="727">
        <f>+landbouw!M8</f>
        <v>0</v>
      </c>
      <c r="O22" s="727">
        <f>+landbouw!N8</f>
        <v>0</v>
      </c>
      <c r="P22" s="727">
        <f>+landbouw!O8</f>
        <v>0</v>
      </c>
      <c r="Q22" s="728">
        <f>+landbouw!P8</f>
        <v>0</v>
      </c>
      <c r="R22" s="729">
        <f>SUM(C22:Q22)</f>
        <v>3993.1387626138912</v>
      </c>
      <c r="S22" s="67"/>
    </row>
    <row r="23" spans="1:19" s="474" customFormat="1" ht="17.25" thickTop="1" thickBot="1">
      <c r="A23" s="734" t="s">
        <v>116</v>
      </c>
      <c r="B23" s="864"/>
      <c r="C23" s="735">
        <f ca="1">C20+C15+C22</f>
        <v>43670.962957772063</v>
      </c>
      <c r="D23" s="735">
        <f t="shared" ref="D23:Q23" ca="1" si="2">D20+D15+D22</f>
        <v>0</v>
      </c>
      <c r="E23" s="735">
        <f t="shared" ca="1" si="2"/>
        <v>38825.185912336718</v>
      </c>
      <c r="F23" s="735">
        <f t="shared" si="2"/>
        <v>4634.1695119007763</v>
      </c>
      <c r="G23" s="735">
        <f t="shared" ca="1" si="2"/>
        <v>62207.196025783545</v>
      </c>
      <c r="H23" s="735">
        <f t="shared" si="2"/>
        <v>58954.338614589884</v>
      </c>
      <c r="I23" s="735">
        <f t="shared" si="2"/>
        <v>10938.824248786133</v>
      </c>
      <c r="J23" s="735">
        <f t="shared" si="2"/>
        <v>0</v>
      </c>
      <c r="K23" s="735">
        <f t="shared" si="2"/>
        <v>123.22572501804986</v>
      </c>
      <c r="L23" s="735">
        <f t="shared" si="2"/>
        <v>0</v>
      </c>
      <c r="M23" s="735">
        <f t="shared" ca="1" si="2"/>
        <v>0</v>
      </c>
      <c r="N23" s="735">
        <f t="shared" si="2"/>
        <v>2183.3124680506749</v>
      </c>
      <c r="O23" s="735">
        <f t="shared" ca="1" si="2"/>
        <v>7949.2222375530928</v>
      </c>
      <c r="P23" s="735">
        <f t="shared" si="2"/>
        <v>326.73666666666668</v>
      </c>
      <c r="Q23" s="736">
        <f t="shared" si="2"/>
        <v>1010.5333333333333</v>
      </c>
      <c r="R23" s="737">
        <f ca="1">R20+R15+R22</f>
        <v>230823.70770179099</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88"/>
      <c r="B27" s="1088"/>
      <c r="C27" s="1088"/>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89"/>
      <c r="B29" s="1089"/>
      <c r="C29" s="1089"/>
      <c r="D29" s="1089"/>
      <c r="E29" s="1089"/>
      <c r="F29" s="1089"/>
      <c r="G29" s="1089"/>
      <c r="H29" s="1089"/>
      <c r="I29" s="1089"/>
      <c r="J29" s="1089"/>
      <c r="K29" s="1089"/>
      <c r="L29" s="1089"/>
      <c r="M29" s="1089"/>
      <c r="N29" s="1089"/>
      <c r="O29" s="1089"/>
      <c r="P29" s="1089"/>
      <c r="Q29" s="1089"/>
      <c r="R29" s="1089"/>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90"/>
      <c r="B31" s="882"/>
      <c r="C31" s="1092" t="s">
        <v>347</v>
      </c>
      <c r="D31" s="1093"/>
      <c r="E31" s="1093"/>
      <c r="F31" s="1093"/>
      <c r="G31" s="1093"/>
      <c r="H31" s="1093"/>
      <c r="I31" s="1093"/>
      <c r="J31" s="1093"/>
      <c r="K31" s="1093"/>
      <c r="L31" s="1093"/>
      <c r="M31" s="1093"/>
      <c r="N31" s="1093"/>
      <c r="O31" s="1093"/>
      <c r="P31" s="1093"/>
      <c r="Q31" s="1093"/>
      <c r="R31" s="1094"/>
    </row>
    <row r="32" spans="1:19" ht="16.5" thickTop="1">
      <c r="A32" s="1091"/>
      <c r="B32" s="883"/>
      <c r="C32" s="1095" t="s">
        <v>21</v>
      </c>
      <c r="D32" s="1097" t="s">
        <v>232</v>
      </c>
      <c r="E32" s="1099" t="s">
        <v>197</v>
      </c>
      <c r="F32" s="1100"/>
      <c r="G32" s="1100"/>
      <c r="H32" s="1100"/>
      <c r="I32" s="1100"/>
      <c r="J32" s="1100"/>
      <c r="K32" s="1100"/>
      <c r="L32" s="1101"/>
      <c r="M32" s="1099" t="s">
        <v>198</v>
      </c>
      <c r="N32" s="1100"/>
      <c r="O32" s="1100"/>
      <c r="P32" s="1100"/>
      <c r="Q32" s="1100"/>
      <c r="R32" s="1102" t="s">
        <v>116</v>
      </c>
    </row>
    <row r="33" spans="1:18" ht="45.75" thickBot="1">
      <c r="A33" s="1091"/>
      <c r="B33" s="883"/>
      <c r="C33" s="1096"/>
      <c r="D33" s="1098"/>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10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2870.3925241889724</v>
      </c>
      <c r="D36" s="718">
        <f ca="1">tertiair!C20</f>
        <v>0</v>
      </c>
      <c r="E36" s="718">
        <f ca="1">tertiair!D20</f>
        <v>1430.8119356080003</v>
      </c>
      <c r="F36" s="718">
        <f>tertiair!E20</f>
        <v>47.828397191780255</v>
      </c>
      <c r="G36" s="718">
        <f ca="1">tertiair!F20</f>
        <v>818.60411654732002</v>
      </c>
      <c r="H36" s="718">
        <f>tertiair!G20</f>
        <v>0</v>
      </c>
      <c r="I36" s="718">
        <f>tertiair!H20</f>
        <v>0</v>
      </c>
      <c r="J36" s="718">
        <f>tertiair!I20</f>
        <v>0</v>
      </c>
      <c r="K36" s="718">
        <f>tertiair!J20</f>
        <v>0</v>
      </c>
      <c r="L36" s="718">
        <f>tertiair!K20</f>
        <v>0</v>
      </c>
      <c r="M36" s="718">
        <f ca="1">tertiair!L20</f>
        <v>0</v>
      </c>
      <c r="N36" s="718">
        <f>tertiair!M20</f>
        <v>0</v>
      </c>
      <c r="O36" s="718">
        <f ca="1">tertiair!N20</f>
        <v>0</v>
      </c>
      <c r="P36" s="718">
        <f>tertiair!O20</f>
        <v>0</v>
      </c>
      <c r="Q36" s="828">
        <f>tertiair!P20</f>
        <v>0</v>
      </c>
      <c r="R36" s="917">
        <f ca="1">SUM(C36:Q36)</f>
        <v>5167.6369735360722</v>
      </c>
    </row>
    <row r="37" spans="1:18">
      <c r="A37" s="885" t="s">
        <v>225</v>
      </c>
      <c r="B37" s="892"/>
      <c r="C37" s="718">
        <f ca="1">huishoudens!B12</f>
        <v>5030.0536870601336</v>
      </c>
      <c r="D37" s="718">
        <f ca="1">huishoudens!C12</f>
        <v>0</v>
      </c>
      <c r="E37" s="718">
        <f>huishoudens!D12</f>
        <v>6258.9018116680008</v>
      </c>
      <c r="F37" s="718">
        <f>huishoudens!E12</f>
        <v>927.24745150603087</v>
      </c>
      <c r="G37" s="718">
        <f>huishoudens!F12</f>
        <v>14835.428076598306</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27051.631026832471</v>
      </c>
    </row>
    <row r="38" spans="1:18">
      <c r="A38" s="885" t="s">
        <v>504</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642</v>
      </c>
      <c r="B39" s="900" t="s">
        <v>639</v>
      </c>
      <c r="C39" s="718">
        <f ca="1">industrie!B22</f>
        <v>276.11531291352298</v>
      </c>
      <c r="D39" s="718">
        <f ca="1">industrie!C22</f>
        <v>0</v>
      </c>
      <c r="E39" s="718">
        <f>industrie!D22</f>
        <v>120.71178983600001</v>
      </c>
      <c r="F39" s="718">
        <f>industrie!E22</f>
        <v>36.865313862658972</v>
      </c>
      <c r="G39" s="718">
        <f>industrie!F22</f>
        <v>171.62144347419863</v>
      </c>
      <c r="H39" s="718">
        <f>industrie!G22</f>
        <v>0</v>
      </c>
      <c r="I39" s="718">
        <f>industrie!H22</f>
        <v>0</v>
      </c>
      <c r="J39" s="718">
        <f>industrie!I22</f>
        <v>0</v>
      </c>
      <c r="K39" s="718">
        <f>industrie!J22</f>
        <v>2.6990943719005536</v>
      </c>
      <c r="L39" s="718">
        <f>industrie!K22</f>
        <v>0</v>
      </c>
      <c r="M39" s="718">
        <f>industrie!L22</f>
        <v>0</v>
      </c>
      <c r="N39" s="718">
        <f>industrie!M22</f>
        <v>0</v>
      </c>
      <c r="O39" s="718">
        <f>industrie!N22</f>
        <v>0</v>
      </c>
      <c r="P39" s="718">
        <f>industrie!O22</f>
        <v>0</v>
      </c>
      <c r="Q39" s="828">
        <f>industrie!P22</f>
        <v>0</v>
      </c>
      <c r="R39" s="918">
        <f ca="1">SUM(C39:Q39)</f>
        <v>608.01295445828111</v>
      </c>
    </row>
    <row r="40" spans="1:18" ht="15" thickBot="1">
      <c r="A40" s="894"/>
      <c r="B40" s="901" t="s">
        <v>640</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8176.5615241626283</v>
      </c>
      <c r="D41" s="763">
        <f t="shared" ref="D41:R41" ca="1" si="4">SUM(D35:D40)</f>
        <v>0</v>
      </c>
      <c r="E41" s="763">
        <f t="shared" ca="1" si="4"/>
        <v>7810.4255371120016</v>
      </c>
      <c r="F41" s="763">
        <f t="shared" si="4"/>
        <v>1011.94116256047</v>
      </c>
      <c r="G41" s="763">
        <f t="shared" ca="1" si="4"/>
        <v>15825.653636619823</v>
      </c>
      <c r="H41" s="763">
        <f t="shared" si="4"/>
        <v>0</v>
      </c>
      <c r="I41" s="763">
        <f t="shared" si="4"/>
        <v>0</v>
      </c>
      <c r="J41" s="763">
        <f t="shared" si="4"/>
        <v>0</v>
      </c>
      <c r="K41" s="763">
        <f t="shared" si="4"/>
        <v>2.6990943719005536</v>
      </c>
      <c r="L41" s="763">
        <f t="shared" si="4"/>
        <v>0</v>
      </c>
      <c r="M41" s="763">
        <f t="shared" ca="1" si="4"/>
        <v>0</v>
      </c>
      <c r="N41" s="763">
        <f t="shared" si="4"/>
        <v>0</v>
      </c>
      <c r="O41" s="763">
        <f t="shared" ca="1" si="4"/>
        <v>0</v>
      </c>
      <c r="P41" s="763">
        <f t="shared" si="4"/>
        <v>0</v>
      </c>
      <c r="Q41" s="764">
        <f t="shared" si="4"/>
        <v>0</v>
      </c>
      <c r="R41" s="765">
        <f t="shared" ca="1" si="4"/>
        <v>32827.28095482682</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981.33972723258307</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981.33972723258307</v>
      </c>
    </row>
    <row r="45" spans="1:18" ht="15" thickBot="1">
      <c r="A45" s="888" t="s">
        <v>307</v>
      </c>
      <c r="B45" s="898"/>
      <c r="C45" s="727">
        <f ca="1">transport!B18</f>
        <v>3.1406654443961695</v>
      </c>
      <c r="D45" s="727">
        <f>transport!C18</f>
        <v>0</v>
      </c>
      <c r="E45" s="727">
        <f>transport!D18</f>
        <v>8.2734029480164306</v>
      </c>
      <c r="F45" s="727">
        <f>transport!E18</f>
        <v>35.315042210255548</v>
      </c>
      <c r="G45" s="727">
        <f>transport!F18</f>
        <v>0</v>
      </c>
      <c r="H45" s="727">
        <f>transport!G18</f>
        <v>14759.468682862916</v>
      </c>
      <c r="I45" s="727">
        <f>transport!H18</f>
        <v>2723.7672379477472</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17529.965031413332</v>
      </c>
    </row>
    <row r="46" spans="1:18" ht="15.75" thickBot="1">
      <c r="A46" s="886" t="s">
        <v>230</v>
      </c>
      <c r="B46" s="899"/>
      <c r="C46" s="763">
        <f t="shared" ref="C46:R46" ca="1" si="5">SUM(C43:C45)</f>
        <v>3.1406654443961695</v>
      </c>
      <c r="D46" s="763">
        <f t="shared" ca="1" si="5"/>
        <v>0</v>
      </c>
      <c r="E46" s="763">
        <f t="shared" si="5"/>
        <v>8.2734029480164306</v>
      </c>
      <c r="F46" s="763">
        <f t="shared" si="5"/>
        <v>35.315042210255548</v>
      </c>
      <c r="G46" s="763">
        <f t="shared" si="5"/>
        <v>0</v>
      </c>
      <c r="H46" s="763">
        <f t="shared" si="5"/>
        <v>15740.8084100955</v>
      </c>
      <c r="I46" s="763">
        <f t="shared" si="5"/>
        <v>2723.7672379477472</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18511.304758645914</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636</v>
      </c>
      <c r="B48" s="904"/>
      <c r="C48" s="718">
        <f ca="1">+landbouw!B12</f>
        <v>153.219920163354</v>
      </c>
      <c r="D48" s="718">
        <f ca="1">+landbouw!C12</f>
        <v>0</v>
      </c>
      <c r="E48" s="718">
        <f>+landbouw!D12</f>
        <v>23.988614232</v>
      </c>
      <c r="F48" s="718">
        <f>+landbouw!E12</f>
        <v>4.7002744307504516</v>
      </c>
      <c r="G48" s="718">
        <f>+landbouw!F12</f>
        <v>783.66770226438302</v>
      </c>
      <c r="H48" s="718">
        <f>+landbouw!G12</f>
        <v>0</v>
      </c>
      <c r="I48" s="718">
        <f>+landbouw!H12</f>
        <v>0</v>
      </c>
      <c r="J48" s="718">
        <f>+landbouw!I12</f>
        <v>0</v>
      </c>
      <c r="K48" s="718">
        <f>+landbouw!J12</f>
        <v>40.922812284489098</v>
      </c>
      <c r="L48" s="718">
        <f>+landbouw!K12</f>
        <v>0</v>
      </c>
      <c r="M48" s="718">
        <f>+landbouw!L12</f>
        <v>0</v>
      </c>
      <c r="N48" s="718">
        <f>+landbouw!M12</f>
        <v>0</v>
      </c>
      <c r="O48" s="718">
        <f>+landbouw!N12</f>
        <v>0</v>
      </c>
      <c r="P48" s="718">
        <f>+landbouw!O12</f>
        <v>0</v>
      </c>
      <c r="Q48" s="719">
        <f>+landbouw!P12</f>
        <v>0</v>
      </c>
      <c r="R48" s="761">
        <f ca="1">SUM(C48:Q48)</f>
        <v>1006.4993233749765</v>
      </c>
    </row>
    <row r="49" spans="1:18" ht="15.75">
      <c r="A49" s="863" t="s">
        <v>637</v>
      </c>
      <c r="B49" s="863"/>
      <c r="C49" s="769"/>
      <c r="D49" s="756"/>
      <c r="E49" s="756"/>
      <c r="F49" s="756"/>
      <c r="G49" s="756"/>
      <c r="H49" s="756"/>
      <c r="I49" s="756"/>
      <c r="J49" s="756"/>
      <c r="K49" s="756"/>
      <c r="L49" s="756"/>
      <c r="M49" s="766"/>
      <c r="N49" s="766"/>
      <c r="O49" s="756"/>
      <c r="P49" s="766"/>
      <c r="Q49" s="766"/>
      <c r="R49" s="760"/>
    </row>
    <row r="50" spans="1:18" ht="15">
      <c r="A50" s="889" t="s">
        <v>238</v>
      </c>
      <c r="B50" s="905"/>
      <c r="C50" s="1113"/>
      <c r="D50" s="1114"/>
      <c r="E50" s="1114"/>
      <c r="F50" s="1114"/>
      <c r="G50" s="1114"/>
      <c r="H50" s="1114"/>
      <c r="I50" s="1114"/>
      <c r="J50" s="1114"/>
      <c r="K50" s="1114"/>
      <c r="L50" s="1114"/>
      <c r="M50" s="1114"/>
      <c r="N50" s="1114"/>
      <c r="O50" s="1114"/>
      <c r="P50" s="1114"/>
      <c r="Q50" s="1114"/>
      <c r="R50" s="770"/>
    </row>
    <row r="51" spans="1:18" ht="15">
      <c r="A51" s="890" t="s">
        <v>239</v>
      </c>
      <c r="B51" s="875"/>
      <c r="C51" s="1115"/>
      <c r="D51" s="1116"/>
      <c r="E51" s="1116"/>
      <c r="F51" s="1116"/>
      <c r="G51" s="1116"/>
      <c r="H51" s="1116"/>
      <c r="I51" s="1116"/>
      <c r="J51" s="1116"/>
      <c r="K51" s="1116"/>
      <c r="L51" s="1116"/>
      <c r="M51" s="1116"/>
      <c r="N51" s="1116"/>
      <c r="O51" s="1116"/>
      <c r="P51" s="1116"/>
      <c r="Q51" s="1116"/>
      <c r="R51" s="771"/>
    </row>
    <row r="52" spans="1:18" ht="15" thickBot="1">
      <c r="A52" s="902" t="s">
        <v>240</v>
      </c>
      <c r="B52" s="903"/>
      <c r="C52" s="1115"/>
      <c r="D52" s="1116"/>
      <c r="E52" s="1116"/>
      <c r="F52" s="1116"/>
      <c r="G52" s="1116"/>
      <c r="H52" s="1116"/>
      <c r="I52" s="1116"/>
      <c r="J52" s="1116"/>
      <c r="K52" s="1116"/>
      <c r="L52" s="1116"/>
      <c r="M52" s="1116"/>
      <c r="N52" s="1116"/>
      <c r="O52" s="1116"/>
      <c r="P52" s="1116"/>
      <c r="Q52" s="1116"/>
      <c r="R52" s="762"/>
    </row>
    <row r="53" spans="1:18" ht="16.5" thickBot="1">
      <c r="A53" s="906" t="s">
        <v>116</v>
      </c>
      <c r="B53" s="907"/>
      <c r="C53" s="772">
        <f ca="1">C41+C46+C48</f>
        <v>8332.9221097703794</v>
      </c>
      <c r="D53" s="773">
        <f t="shared" ref="D53:Q53" ca="1" si="6">D41+D46+D48</f>
        <v>0</v>
      </c>
      <c r="E53" s="773">
        <f t="shared" ca="1" si="6"/>
        <v>7842.6875542920179</v>
      </c>
      <c r="F53" s="773">
        <f t="shared" si="6"/>
        <v>1051.956479201476</v>
      </c>
      <c r="G53" s="773">
        <f t="shared" ca="1" si="6"/>
        <v>16609.321338884205</v>
      </c>
      <c r="H53" s="773">
        <f t="shared" si="6"/>
        <v>15740.8084100955</v>
      </c>
      <c r="I53" s="773">
        <f t="shared" si="6"/>
        <v>2723.7672379477472</v>
      </c>
      <c r="J53" s="773">
        <f t="shared" si="6"/>
        <v>0</v>
      </c>
      <c r="K53" s="773">
        <f t="shared" si="6"/>
        <v>43.621906656389655</v>
      </c>
      <c r="L53" s="773">
        <f t="shared" si="6"/>
        <v>0</v>
      </c>
      <c r="M53" s="773">
        <f t="shared" ca="1" si="6"/>
        <v>0</v>
      </c>
      <c r="N53" s="773">
        <f t="shared" si="6"/>
        <v>0</v>
      </c>
      <c r="O53" s="773">
        <f t="shared" ca="1" si="6"/>
        <v>0</v>
      </c>
      <c r="P53" s="773">
        <f>P41+P46+P48</f>
        <v>0</v>
      </c>
      <c r="Q53" s="774">
        <f t="shared" si="6"/>
        <v>0</v>
      </c>
      <c r="R53" s="775">
        <f ca="1">R41+R46+R48</f>
        <v>52345.085036847711</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0.19081150369475378</v>
      </c>
      <c r="D55" s="836">
        <f t="shared" ca="1" si="7"/>
        <v>0</v>
      </c>
      <c r="E55" s="836">
        <f t="shared" ca="1" si="7"/>
        <v>0.20200000000000001</v>
      </c>
      <c r="F55" s="836">
        <f t="shared" si="7"/>
        <v>0.22699999999999995</v>
      </c>
      <c r="G55" s="836">
        <f t="shared" ca="1" si="7"/>
        <v>0.26699999999999996</v>
      </c>
      <c r="H55" s="836">
        <f t="shared" si="7"/>
        <v>0.26700000000000002</v>
      </c>
      <c r="I55" s="836">
        <f t="shared" si="7"/>
        <v>0.249</v>
      </c>
      <c r="J55" s="836">
        <f t="shared" si="7"/>
        <v>0</v>
      </c>
      <c r="K55" s="836">
        <f t="shared" si="7"/>
        <v>0.35400000000000004</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89"/>
      <c r="B59" s="1089"/>
      <c r="C59" s="1089"/>
      <c r="D59" s="1089"/>
      <c r="E59" s="1089"/>
      <c r="F59" s="1089"/>
      <c r="G59" s="1089"/>
      <c r="H59" s="1089"/>
      <c r="I59" s="1089"/>
      <c r="J59" s="1089"/>
      <c r="K59" s="1089"/>
      <c r="L59" s="1089"/>
      <c r="M59" s="1089"/>
      <c r="N59" s="1089"/>
      <c r="O59" s="1089"/>
      <c r="P59" s="1089"/>
      <c r="Q59" s="1089"/>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102" t="s">
        <v>241</v>
      </c>
      <c r="B61" s="1127" t="s">
        <v>351</v>
      </c>
      <c r="C61" s="1118"/>
      <c r="D61" s="1124" t="s">
        <v>352</v>
      </c>
      <c r="E61" s="1125"/>
      <c r="F61" s="1125"/>
      <c r="G61" s="1125"/>
      <c r="H61" s="1125"/>
      <c r="I61" s="1125"/>
      <c r="J61" s="1125"/>
      <c r="K61" s="1125"/>
      <c r="L61" s="1125"/>
      <c r="M61" s="1126"/>
      <c r="N61" s="1118" t="s">
        <v>645</v>
      </c>
      <c r="O61" s="1129" t="s">
        <v>644</v>
      </c>
      <c r="P61" s="1130"/>
      <c r="Q61" s="785"/>
      <c r="R61" s="742"/>
    </row>
    <row r="62" spans="1:18" ht="31.5" thickTop="1" thickBot="1">
      <c r="A62" s="1117"/>
      <c r="B62" s="1128"/>
      <c r="C62" s="1120"/>
      <c r="D62" s="1121" t="s">
        <v>197</v>
      </c>
      <c r="E62" s="1122"/>
      <c r="F62" s="1122"/>
      <c r="G62" s="1122"/>
      <c r="H62" s="1123"/>
      <c r="I62" s="786" t="s">
        <v>245</v>
      </c>
      <c r="J62" s="787" t="s">
        <v>246</v>
      </c>
      <c r="K62" s="787" t="s">
        <v>234</v>
      </c>
      <c r="L62" s="787" t="s">
        <v>247</v>
      </c>
      <c r="M62" s="1134" t="s">
        <v>127</v>
      </c>
      <c r="N62" s="1119"/>
      <c r="O62" s="926"/>
      <c r="P62" s="927"/>
      <c r="Q62" s="785"/>
      <c r="R62" s="742"/>
    </row>
    <row r="63" spans="1:18" ht="95.25" customHeight="1" thickTop="1" thickBot="1">
      <c r="A63" s="1103"/>
      <c r="B63" s="854" t="s">
        <v>558</v>
      </c>
      <c r="C63" s="854" t="s">
        <v>643</v>
      </c>
      <c r="D63" s="788" t="s">
        <v>199</v>
      </c>
      <c r="E63" s="789" t="s">
        <v>200</v>
      </c>
      <c r="F63" s="790" t="s">
        <v>201</v>
      </c>
      <c r="G63" s="791" t="s">
        <v>203</v>
      </c>
      <c r="H63" s="792" t="s">
        <v>204</v>
      </c>
      <c r="I63" s="793"/>
      <c r="J63" s="789"/>
      <c r="K63" s="789"/>
      <c r="L63" s="789"/>
      <c r="M63" s="1135"/>
      <c r="N63" s="1120"/>
      <c r="O63" s="857" t="s">
        <v>646</v>
      </c>
      <c r="P63" s="855" t="s">
        <v>647</v>
      </c>
      <c r="Q63" s="785"/>
      <c r="R63" s="742"/>
    </row>
    <row r="64" spans="1:18" ht="15.75" thickTop="1">
      <c r="A64" s="794" t="s">
        <v>249</v>
      </c>
      <c r="B64" s="908">
        <f>'lokale energieproductie'!B4</f>
        <v>0</v>
      </c>
      <c r="C64" s="795">
        <f>'lokale energieproductie'!B4</f>
        <v>0</v>
      </c>
      <c r="D64" s="1136"/>
      <c r="E64" s="1104"/>
      <c r="F64" s="1104"/>
      <c r="G64" s="1107"/>
      <c r="H64" s="1110"/>
      <c r="I64" s="796"/>
      <c r="J64" s="796"/>
      <c r="K64" s="796"/>
      <c r="L64" s="796"/>
      <c r="M64" s="1131"/>
      <c r="N64" s="921">
        <v>0</v>
      </c>
      <c r="O64" s="928"/>
      <c r="P64" s="921">
        <v>0</v>
      </c>
      <c r="Q64" s="785"/>
      <c r="R64" s="783"/>
    </row>
    <row r="65" spans="1:18" ht="15">
      <c r="A65" s="797" t="s">
        <v>250</v>
      </c>
      <c r="B65" s="794">
        <f>'lokale energieproductie'!B5</f>
        <v>0</v>
      </c>
      <c r="C65" s="795">
        <f>'lokale energieproductie'!B5</f>
        <v>0</v>
      </c>
      <c r="D65" s="1137"/>
      <c r="E65" s="1105"/>
      <c r="F65" s="1105"/>
      <c r="G65" s="1108"/>
      <c r="H65" s="1111"/>
      <c r="I65" s="798"/>
      <c r="J65" s="798"/>
      <c r="K65" s="798"/>
      <c r="L65" s="798"/>
      <c r="M65" s="1132"/>
      <c r="N65" s="922">
        <v>0</v>
      </c>
      <c r="O65" s="928"/>
      <c r="P65" s="922">
        <v>0</v>
      </c>
      <c r="Q65" s="785"/>
      <c r="R65" s="748"/>
    </row>
    <row r="66" spans="1:18" ht="15">
      <c r="A66" s="797" t="s">
        <v>251</v>
      </c>
      <c r="B66" s="794">
        <f>'lokale energieproductie'!B6</f>
        <v>5150.93304930881</v>
      </c>
      <c r="C66" s="795">
        <f>'lokale energieproductie'!B6</f>
        <v>5150.93304930881</v>
      </c>
      <c r="D66" s="1138"/>
      <c r="E66" s="1106"/>
      <c r="F66" s="1106"/>
      <c r="G66" s="1109"/>
      <c r="H66" s="1112"/>
      <c r="I66" s="799"/>
      <c r="J66" s="799"/>
      <c r="K66" s="799"/>
      <c r="L66" s="799"/>
      <c r="M66" s="1133"/>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814.5</v>
      </c>
      <c r="C68" s="794">
        <f>B68*IFERROR(SUM(J68:L68)/SUM(D68:M68),0)</f>
        <v>814.5</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2327.1428571428573</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5965.43304930881</v>
      </c>
      <c r="C69" s="803">
        <f>SUM(C64:C68)</f>
        <v>5965.43304930881</v>
      </c>
      <c r="D69" s="804">
        <f t="shared" ref="D69:M69" si="8">SUM(D67:D68)</f>
        <v>0</v>
      </c>
      <c r="E69" s="804">
        <f t="shared" si="8"/>
        <v>0</v>
      </c>
      <c r="F69" s="804">
        <f t="shared" si="8"/>
        <v>0</v>
      </c>
      <c r="G69" s="804">
        <f t="shared" si="8"/>
        <v>0</v>
      </c>
      <c r="H69" s="804">
        <f t="shared" si="8"/>
        <v>0</v>
      </c>
      <c r="I69" s="804">
        <f t="shared" si="8"/>
        <v>0</v>
      </c>
      <c r="J69" s="804">
        <f t="shared" si="8"/>
        <v>0</v>
      </c>
      <c r="K69" s="804">
        <f t="shared" si="8"/>
        <v>2327.1428571428573</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89"/>
      <c r="B73" s="1089"/>
      <c r="C73" s="1089"/>
      <c r="D73" s="1089"/>
      <c r="E73" s="1089"/>
      <c r="F73" s="1089"/>
      <c r="G73" s="1089"/>
      <c r="H73" s="1089"/>
      <c r="I73" s="1089"/>
      <c r="J73" s="1089"/>
      <c r="K73" s="1089"/>
      <c r="L73" s="1089"/>
      <c r="M73" s="1089"/>
      <c r="N73" s="1089"/>
      <c r="O73" s="1089"/>
      <c r="P73" s="1089"/>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102" t="s">
        <v>253</v>
      </c>
      <c r="B75" s="1127" t="s">
        <v>355</v>
      </c>
      <c r="C75" s="1118"/>
      <c r="D75" s="1124" t="s">
        <v>356</v>
      </c>
      <c r="E75" s="1125"/>
      <c r="F75" s="1125"/>
      <c r="G75" s="1125"/>
      <c r="H75" s="1125"/>
      <c r="I75" s="1125"/>
      <c r="J75" s="1125"/>
      <c r="K75" s="1125"/>
      <c r="L75" s="1125"/>
      <c r="M75" s="1126"/>
      <c r="N75" s="1118" t="s">
        <v>645</v>
      </c>
      <c r="O75" s="1127" t="s">
        <v>644</v>
      </c>
      <c r="P75" s="1118"/>
      <c r="Q75" s="812"/>
      <c r="R75" s="742"/>
    </row>
    <row r="76" spans="1:18" ht="16.5" thickTop="1" thickBot="1">
      <c r="A76" s="1117"/>
      <c r="B76" s="1144"/>
      <c r="C76" s="1119"/>
      <c r="D76" s="1139" t="s">
        <v>197</v>
      </c>
      <c r="E76" s="1140"/>
      <c r="F76" s="1140"/>
      <c r="G76" s="1140"/>
      <c r="H76" s="1141"/>
      <c r="I76" s="1142" t="s">
        <v>245</v>
      </c>
      <c r="J76" s="1142" t="s">
        <v>246</v>
      </c>
      <c r="K76" s="1097" t="s">
        <v>234</v>
      </c>
      <c r="L76" s="1146" t="s">
        <v>257</v>
      </c>
      <c r="M76" s="1134" t="s">
        <v>127</v>
      </c>
      <c r="N76" s="1119"/>
      <c r="O76" s="926"/>
      <c r="P76" s="927"/>
      <c r="Q76" s="812"/>
      <c r="R76" s="742"/>
    </row>
    <row r="77" spans="1:18" ht="110.25" customHeight="1" thickTop="1" thickBot="1">
      <c r="A77" s="1103"/>
      <c r="B77" s="909" t="s">
        <v>558</v>
      </c>
      <c r="C77" s="909" t="s">
        <v>643</v>
      </c>
      <c r="D77" s="813" t="s">
        <v>199</v>
      </c>
      <c r="E77" s="789" t="s">
        <v>200</v>
      </c>
      <c r="F77" s="814" t="s">
        <v>201</v>
      </c>
      <c r="G77" s="789" t="s">
        <v>203</v>
      </c>
      <c r="H77" s="815" t="s">
        <v>204</v>
      </c>
      <c r="I77" s="1143"/>
      <c r="J77" s="1143"/>
      <c r="K77" s="1145"/>
      <c r="L77" s="1098"/>
      <c r="M77" s="1147"/>
      <c r="N77" s="1120"/>
      <c r="O77" s="857" t="s">
        <v>646</v>
      </c>
      <c r="P77" s="855" t="s">
        <v>647</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22" sqref="C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4" t="s">
        <v>620</v>
      </c>
      <c r="B1" s="974" t="s">
        <v>621</v>
      </c>
      <c r="C1" s="974" t="s">
        <v>623</v>
      </c>
      <c r="D1" s="974" t="s">
        <v>622</v>
      </c>
    </row>
    <row r="2" spans="1:4" s="959" customFormat="1">
      <c r="A2" s="959" t="s">
        <v>691</v>
      </c>
      <c r="B2" s="985">
        <v>42860</v>
      </c>
      <c r="C2" s="959" t="s">
        <v>700</v>
      </c>
      <c r="D2" s="986" t="s">
        <v>701</v>
      </c>
    </row>
    <row r="3" spans="1:4" s="959" customFormat="1">
      <c r="A3" s="959" t="s">
        <v>691</v>
      </c>
      <c r="B3" s="985">
        <v>42860</v>
      </c>
      <c r="C3" s="959" t="s">
        <v>703</v>
      </c>
      <c r="D3" s="986" t="s">
        <v>704</v>
      </c>
    </row>
    <row r="4" spans="1:4" s="959" customFormat="1">
      <c r="A4" s="959" t="s">
        <v>691</v>
      </c>
      <c r="B4" s="985">
        <v>42860</v>
      </c>
      <c r="C4" s="959" t="s">
        <v>709</v>
      </c>
      <c r="D4" s="986" t="s">
        <v>708</v>
      </c>
    </row>
    <row r="5" spans="1:4" s="959" customFormat="1">
      <c r="A5" s="959" t="s">
        <v>691</v>
      </c>
      <c r="B5" s="985">
        <v>42860</v>
      </c>
      <c r="C5" s="959" t="s">
        <v>710</v>
      </c>
      <c r="D5" s="1001" t="s">
        <v>711</v>
      </c>
    </row>
    <row r="6" spans="1:4" s="959" customFormat="1">
      <c r="A6" s="959" t="s">
        <v>691</v>
      </c>
      <c r="B6" s="1009">
        <v>42877</v>
      </c>
      <c r="C6" s="958" t="s">
        <v>787</v>
      </c>
      <c r="D6" s="1010" t="s">
        <v>718</v>
      </c>
    </row>
    <row r="7" spans="1:4" s="959" customFormat="1">
      <c r="A7" s="959" t="s">
        <v>691</v>
      </c>
      <c r="B7" s="1009">
        <v>42877</v>
      </c>
      <c r="C7" s="958" t="s">
        <v>788</v>
      </c>
      <c r="D7" s="1010" t="s">
        <v>719</v>
      </c>
    </row>
    <row r="8" spans="1:4" s="959" customFormat="1">
      <c r="A8" s="959" t="s">
        <v>691</v>
      </c>
      <c r="B8" s="1009">
        <v>42877</v>
      </c>
      <c r="C8" s="958" t="s">
        <v>789</v>
      </c>
      <c r="D8" s="1010" t="s">
        <v>720</v>
      </c>
    </row>
    <row r="9" spans="1:4" s="7" customFormat="1">
      <c r="A9" s="959" t="s">
        <v>691</v>
      </c>
      <c r="B9" s="1009">
        <v>42877</v>
      </c>
      <c r="C9" s="958" t="s">
        <v>722</v>
      </c>
      <c r="D9" s="1010" t="s">
        <v>721</v>
      </c>
    </row>
    <row r="10" spans="1:4" s="7" customFormat="1">
      <c r="A10" s="959" t="s">
        <v>774</v>
      </c>
      <c r="B10" s="985">
        <v>43167</v>
      </c>
      <c r="C10" s="985" t="s">
        <v>775</v>
      </c>
      <c r="D10" s="1010" t="s">
        <v>776</v>
      </c>
    </row>
    <row r="11" spans="1:4" s="7" customFormat="1">
      <c r="A11" s="959" t="s">
        <v>774</v>
      </c>
      <c r="B11" s="985">
        <v>43167</v>
      </c>
      <c r="C11" s="985" t="s">
        <v>777</v>
      </c>
      <c r="D11" s="1013" t="s">
        <v>778</v>
      </c>
    </row>
    <row r="12" spans="1:4" s="7" customFormat="1">
      <c r="A12" s="959" t="s">
        <v>774</v>
      </c>
      <c r="B12" s="985">
        <v>43167</v>
      </c>
      <c r="C12" s="985" t="s">
        <v>779</v>
      </c>
      <c r="D12" s="1013" t="s">
        <v>780</v>
      </c>
    </row>
    <row r="13" spans="1:4" s="7" customFormat="1">
      <c r="A13" s="959" t="s">
        <v>774</v>
      </c>
      <c r="B13" s="985">
        <v>43167</v>
      </c>
      <c r="C13" s="985" t="s">
        <v>781</v>
      </c>
      <c r="D13" s="1013" t="s">
        <v>782</v>
      </c>
    </row>
    <row r="14" spans="1:4" s="7" customFormat="1">
      <c r="A14" s="959" t="s">
        <v>774</v>
      </c>
      <c r="B14" s="985">
        <v>43278</v>
      </c>
      <c r="C14" s="985" t="s">
        <v>808</v>
      </c>
      <c r="D14" s="1010"/>
    </row>
    <row r="15" spans="1:4" s="7" customFormat="1">
      <c r="A15" s="959" t="s">
        <v>844</v>
      </c>
      <c r="B15" s="985">
        <v>43425</v>
      </c>
      <c r="C15" s="985" t="s">
        <v>845</v>
      </c>
      <c r="D15" s="1010"/>
    </row>
    <row r="16" spans="1:4" s="7" customFormat="1">
      <c r="A16" s="959"/>
      <c r="B16" s="985"/>
      <c r="C16" s="985"/>
      <c r="D16" s="1013"/>
    </row>
    <row r="17" spans="1:4" s="7" customFormat="1">
      <c r="A17" s="959"/>
      <c r="B17" s="985"/>
      <c r="C17" s="985"/>
      <c r="D17" s="1013"/>
    </row>
    <row r="18" spans="1:4" s="7" customFormat="1">
      <c r="A18" s="959"/>
      <c r="B18" s="985"/>
      <c r="C18" s="985"/>
      <c r="D18" s="1013"/>
    </row>
    <row r="19" spans="1:4" s="7" customFormat="1">
      <c r="B19" s="967"/>
      <c r="C19" s="985"/>
      <c r="D19" s="1010"/>
    </row>
    <row r="20" spans="1:4" s="7" customFormat="1">
      <c r="B20" s="967"/>
      <c r="D20" s="96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3" workbookViewId="0">
      <selection activeCell="D26" sqref="D26:D2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8" t="s">
        <v>553</v>
      </c>
      <c r="B1" s="1149" t="s">
        <v>549</v>
      </c>
      <c r="C1" s="1149"/>
      <c r="D1" s="1149"/>
      <c r="E1" s="1149"/>
      <c r="F1" s="1149"/>
      <c r="G1" s="1149"/>
      <c r="H1" s="1149"/>
      <c r="I1" s="1149"/>
      <c r="J1" s="1149"/>
      <c r="K1" s="1149"/>
      <c r="L1" s="1149"/>
      <c r="M1" s="1149"/>
      <c r="N1" s="1149"/>
      <c r="O1" s="1149"/>
      <c r="P1" s="1150"/>
      <c r="Q1" s="475"/>
    </row>
    <row r="2" spans="1:17">
      <c r="A2" s="1148"/>
      <c r="B2" s="1151" t="s">
        <v>21</v>
      </c>
      <c r="C2" s="1153" t="s">
        <v>196</v>
      </c>
      <c r="D2" s="1155" t="s">
        <v>197</v>
      </c>
      <c r="E2" s="1156"/>
      <c r="F2" s="1156"/>
      <c r="G2" s="1156"/>
      <c r="H2" s="1156"/>
      <c r="I2" s="1156"/>
      <c r="J2" s="1156"/>
      <c r="K2" s="1152"/>
      <c r="L2" s="1155" t="s">
        <v>198</v>
      </c>
      <c r="M2" s="1156"/>
      <c r="N2" s="1156"/>
      <c r="O2" s="1156"/>
      <c r="P2" s="1152"/>
      <c r="Q2" s="475"/>
    </row>
    <row r="3" spans="1:17" ht="45">
      <c r="A3" s="1148"/>
      <c r="B3" s="1152"/>
      <c r="C3" s="115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26361.375439432857</v>
      </c>
      <c r="C4" s="478">
        <f>huishoudens!C8</f>
        <v>0</v>
      </c>
      <c r="D4" s="478">
        <f>huishoudens!D8</f>
        <v>30984.662434000002</v>
      </c>
      <c r="E4" s="478">
        <f>huishoudens!E8</f>
        <v>4084.7905352688581</v>
      </c>
      <c r="F4" s="478">
        <f>huishoudens!F8</f>
        <v>55563.401035948707</v>
      </c>
      <c r="G4" s="478">
        <f>huishoudens!G8</f>
        <v>0</v>
      </c>
      <c r="H4" s="478">
        <f>huishoudens!H8</f>
        <v>0</v>
      </c>
      <c r="I4" s="478">
        <f>huishoudens!I8</f>
        <v>0</v>
      </c>
      <c r="J4" s="478">
        <f>huishoudens!J8</f>
        <v>0</v>
      </c>
      <c r="K4" s="478">
        <f>huishoudens!K8</f>
        <v>0</v>
      </c>
      <c r="L4" s="478">
        <f>huishoudens!L8</f>
        <v>0</v>
      </c>
      <c r="M4" s="478">
        <f>huishoudens!M8</f>
        <v>0</v>
      </c>
      <c r="N4" s="478">
        <f>huishoudens!N8</f>
        <v>7457.8336421118411</v>
      </c>
      <c r="O4" s="478">
        <f>huishoudens!O8</f>
        <v>322.04666666666668</v>
      </c>
      <c r="P4" s="479">
        <f>huishoudens!P8</f>
        <v>972.4</v>
      </c>
      <c r="Q4" s="480">
        <f>SUM(B4:P4)</f>
        <v>125746.50975342892</v>
      </c>
    </row>
    <row r="5" spans="1:17">
      <c r="A5" s="477" t="s">
        <v>156</v>
      </c>
      <c r="B5" s="478">
        <f ca="1">tertiair!B16</f>
        <v>14160.82</v>
      </c>
      <c r="C5" s="478">
        <f ca="1">tertiair!C16</f>
        <v>0</v>
      </c>
      <c r="D5" s="478">
        <f ca="1">tertiair!D16</f>
        <v>7083.2274040000011</v>
      </c>
      <c r="E5" s="478">
        <f>tertiair!E16</f>
        <v>210.6977849858161</v>
      </c>
      <c r="F5" s="478">
        <f ca="1">tertiair!F16</f>
        <v>3065.9330207764792</v>
      </c>
      <c r="G5" s="478">
        <f>tertiair!G16</f>
        <v>0</v>
      </c>
      <c r="H5" s="478">
        <f>tertiair!H16</f>
        <v>0</v>
      </c>
      <c r="I5" s="478">
        <f>tertiair!I16</f>
        <v>0</v>
      </c>
      <c r="J5" s="478">
        <f>tertiair!J16</f>
        <v>0</v>
      </c>
      <c r="K5" s="478">
        <f>tertiair!K16</f>
        <v>0</v>
      </c>
      <c r="L5" s="478">
        <f ca="1">tertiair!L16</f>
        <v>0</v>
      </c>
      <c r="M5" s="478">
        <f>tertiair!M16</f>
        <v>0</v>
      </c>
      <c r="N5" s="478">
        <f ca="1">tertiair!N16</f>
        <v>0</v>
      </c>
      <c r="O5" s="478">
        <f>tertiair!O16</f>
        <v>4.6900000000000004</v>
      </c>
      <c r="P5" s="479">
        <f>tertiair!P16</f>
        <v>38.133333333333333</v>
      </c>
      <c r="Q5" s="477">
        <f t="shared" ref="Q5:Q13" ca="1" si="0">SUM(B5:P5)</f>
        <v>24563.50154309563</v>
      </c>
    </row>
    <row r="6" spans="1:17">
      <c r="A6" s="477" t="s">
        <v>194</v>
      </c>
      <c r="B6" s="478">
        <f>'openbare verlichting'!B8</f>
        <v>882.25900000000001</v>
      </c>
      <c r="C6" s="478"/>
      <c r="D6" s="478"/>
      <c r="E6" s="478"/>
      <c r="F6" s="478"/>
      <c r="G6" s="478"/>
      <c r="H6" s="478"/>
      <c r="I6" s="478"/>
      <c r="J6" s="478"/>
      <c r="K6" s="478"/>
      <c r="L6" s="478"/>
      <c r="M6" s="478"/>
      <c r="N6" s="478"/>
      <c r="O6" s="478"/>
      <c r="P6" s="479"/>
      <c r="Q6" s="477">
        <f t="shared" si="0"/>
        <v>882.25900000000001</v>
      </c>
    </row>
    <row r="7" spans="1:17">
      <c r="A7" s="477" t="s">
        <v>112</v>
      </c>
      <c r="B7" s="478">
        <f>landbouw!B8</f>
        <v>802.99099999999999</v>
      </c>
      <c r="C7" s="478">
        <f>landbouw!C8</f>
        <v>0</v>
      </c>
      <c r="D7" s="478">
        <f>landbouw!D8</f>
        <v>118.75551599999999</v>
      </c>
      <c r="E7" s="478">
        <f>landbouw!E8</f>
        <v>20.706054761015206</v>
      </c>
      <c r="F7" s="478">
        <f>landbouw!F8</f>
        <v>2935.0850272074267</v>
      </c>
      <c r="G7" s="478">
        <f>landbouw!G8</f>
        <v>0</v>
      </c>
      <c r="H7" s="478">
        <f>landbouw!H8</f>
        <v>0</v>
      </c>
      <c r="I7" s="478">
        <f>landbouw!I8</f>
        <v>0</v>
      </c>
      <c r="J7" s="478">
        <f>landbouw!J8</f>
        <v>115.60116464544943</v>
      </c>
      <c r="K7" s="478">
        <f>landbouw!K8</f>
        <v>0</v>
      </c>
      <c r="L7" s="478">
        <f>landbouw!L8</f>
        <v>0</v>
      </c>
      <c r="M7" s="478">
        <f>landbouw!M8</f>
        <v>0</v>
      </c>
      <c r="N7" s="478">
        <f>landbouw!N8</f>
        <v>0</v>
      </c>
      <c r="O7" s="478">
        <f>landbouw!O8</f>
        <v>0</v>
      </c>
      <c r="P7" s="479">
        <f>landbouw!P8</f>
        <v>0</v>
      </c>
      <c r="Q7" s="477">
        <f t="shared" si="0"/>
        <v>3993.1387626138912</v>
      </c>
    </row>
    <row r="8" spans="1:17">
      <c r="A8" s="477" t="s">
        <v>638</v>
      </c>
      <c r="B8" s="478">
        <f>industrie!B18</f>
        <v>1447.058</v>
      </c>
      <c r="C8" s="478">
        <f>industrie!C18</f>
        <v>0</v>
      </c>
      <c r="D8" s="478">
        <f>industrie!D18</f>
        <v>597.58311800000001</v>
      </c>
      <c r="E8" s="478">
        <f>industrie!E18</f>
        <v>162.40226371215405</v>
      </c>
      <c r="F8" s="478">
        <f>industrie!F18</f>
        <v>642.77694185093117</v>
      </c>
      <c r="G8" s="478">
        <f>industrie!G18</f>
        <v>0</v>
      </c>
      <c r="H8" s="478">
        <f>industrie!H18</f>
        <v>0</v>
      </c>
      <c r="I8" s="478">
        <f>industrie!I18</f>
        <v>0</v>
      </c>
      <c r="J8" s="478">
        <f>industrie!J18</f>
        <v>7.6245603726004338</v>
      </c>
      <c r="K8" s="478">
        <f>industrie!K18</f>
        <v>0</v>
      </c>
      <c r="L8" s="478">
        <f>industrie!L18</f>
        <v>0</v>
      </c>
      <c r="M8" s="478">
        <f>industrie!M18</f>
        <v>0</v>
      </c>
      <c r="N8" s="478">
        <f>industrie!N18</f>
        <v>491.38859544125143</v>
      </c>
      <c r="O8" s="478">
        <f>industrie!O18</f>
        <v>0</v>
      </c>
      <c r="P8" s="479">
        <f>industrie!P18</f>
        <v>0</v>
      </c>
      <c r="Q8" s="477">
        <f t="shared" si="0"/>
        <v>3348.8334793769368</v>
      </c>
    </row>
    <row r="9" spans="1:17" s="483" customFormat="1">
      <c r="A9" s="481" t="s">
        <v>564</v>
      </c>
      <c r="B9" s="482">
        <f>transport!B14</f>
        <v>16.4595183392107</v>
      </c>
      <c r="C9" s="482"/>
      <c r="D9" s="482">
        <f>transport!D14</f>
        <v>40.957440336715003</v>
      </c>
      <c r="E9" s="482">
        <f>transport!E14</f>
        <v>155.57287317293193</v>
      </c>
      <c r="F9" s="482"/>
      <c r="G9" s="482">
        <f>transport!G14</f>
        <v>55278.90892458021</v>
      </c>
      <c r="H9" s="482">
        <f>transport!H14</f>
        <v>10938.824248786133</v>
      </c>
      <c r="I9" s="482"/>
      <c r="J9" s="482"/>
      <c r="K9" s="482"/>
      <c r="L9" s="482"/>
      <c r="M9" s="482">
        <f>transport!M14</f>
        <v>2069.3088616720433</v>
      </c>
      <c r="N9" s="482"/>
      <c r="O9" s="482"/>
      <c r="P9" s="482"/>
      <c r="Q9" s="481">
        <f>SUM(B9:P9)</f>
        <v>68500.03186688725</v>
      </c>
    </row>
    <row r="10" spans="1:17">
      <c r="A10" s="477" t="s">
        <v>554</v>
      </c>
      <c r="B10" s="478">
        <f>transport!B54</f>
        <v>0</v>
      </c>
      <c r="C10" s="478"/>
      <c r="D10" s="478">
        <f>transport!D54</f>
        <v>0</v>
      </c>
      <c r="E10" s="478"/>
      <c r="F10" s="478"/>
      <c r="G10" s="478">
        <f>transport!G54</f>
        <v>3675.4296900096742</v>
      </c>
      <c r="H10" s="478"/>
      <c r="I10" s="478"/>
      <c r="J10" s="478"/>
      <c r="K10" s="478"/>
      <c r="L10" s="478"/>
      <c r="M10" s="478">
        <f>transport!M54</f>
        <v>114.00360637863142</v>
      </c>
      <c r="N10" s="478"/>
      <c r="O10" s="478"/>
      <c r="P10" s="479"/>
      <c r="Q10" s="477">
        <f t="shared" si="0"/>
        <v>3789.4332963883057</v>
      </c>
    </row>
    <row r="11" spans="1:17">
      <c r="A11" s="477" t="s">
        <v>555</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556</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557</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558</v>
      </c>
      <c r="B14" s="488">
        <f ca="1">SUM(B4:B13)</f>
        <v>43670.962957772063</v>
      </c>
      <c r="C14" s="488">
        <f t="shared" ref="C14:Q14" ca="1" si="1">SUM(C4:C13)</f>
        <v>0</v>
      </c>
      <c r="D14" s="488">
        <f t="shared" ca="1" si="1"/>
        <v>38825.185912336718</v>
      </c>
      <c r="E14" s="488">
        <f t="shared" si="1"/>
        <v>4634.1695119007763</v>
      </c>
      <c r="F14" s="488">
        <f t="shared" ca="1" si="1"/>
        <v>62207.196025783545</v>
      </c>
      <c r="G14" s="488">
        <f t="shared" si="1"/>
        <v>58954.338614589884</v>
      </c>
      <c r="H14" s="488">
        <f t="shared" si="1"/>
        <v>10938.824248786133</v>
      </c>
      <c r="I14" s="488">
        <f t="shared" si="1"/>
        <v>0</v>
      </c>
      <c r="J14" s="488">
        <f t="shared" si="1"/>
        <v>123.22572501804986</v>
      </c>
      <c r="K14" s="488">
        <f t="shared" si="1"/>
        <v>0</v>
      </c>
      <c r="L14" s="488">
        <f t="shared" ca="1" si="1"/>
        <v>0</v>
      </c>
      <c r="M14" s="488">
        <f t="shared" si="1"/>
        <v>2183.3124680506749</v>
      </c>
      <c r="N14" s="488">
        <f t="shared" ca="1" si="1"/>
        <v>7949.2222375530928</v>
      </c>
      <c r="O14" s="488">
        <f t="shared" si="1"/>
        <v>326.73666666666668</v>
      </c>
      <c r="P14" s="489">
        <f t="shared" si="1"/>
        <v>1010.5333333333333</v>
      </c>
      <c r="Q14" s="489">
        <f t="shared" ca="1" si="1"/>
        <v>230823.70770179096</v>
      </c>
    </row>
    <row r="16" spans="1:17">
      <c r="A16" s="491" t="s">
        <v>559</v>
      </c>
      <c r="B16" s="841">
        <f ca="1">huishoudens!B10</f>
        <v>0.19081150369475375</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8" t="s">
        <v>561</v>
      </c>
      <c r="B18" s="1149" t="s">
        <v>560</v>
      </c>
      <c r="C18" s="1149"/>
      <c r="D18" s="1149"/>
      <c r="E18" s="1149"/>
      <c r="F18" s="1149"/>
      <c r="G18" s="1149"/>
      <c r="H18" s="1149"/>
      <c r="I18" s="1149"/>
      <c r="J18" s="1149"/>
      <c r="K18" s="1149"/>
      <c r="L18" s="1149"/>
      <c r="M18" s="1149"/>
      <c r="N18" s="1149"/>
      <c r="O18" s="1149"/>
      <c r="P18" s="1150"/>
      <c r="Q18" s="475"/>
    </row>
    <row r="19" spans="1:17" ht="15" customHeight="1">
      <c r="A19" s="1148"/>
      <c r="B19" s="1151" t="s">
        <v>21</v>
      </c>
      <c r="C19" s="1153" t="s">
        <v>196</v>
      </c>
      <c r="D19" s="1155" t="s">
        <v>197</v>
      </c>
      <c r="E19" s="1156"/>
      <c r="F19" s="1156"/>
      <c r="G19" s="1156"/>
      <c r="H19" s="1156"/>
      <c r="I19" s="1156"/>
      <c r="J19" s="1156"/>
      <c r="K19" s="1152"/>
      <c r="L19" s="1155" t="s">
        <v>198</v>
      </c>
      <c r="M19" s="1156"/>
      <c r="N19" s="1156"/>
      <c r="O19" s="1156"/>
      <c r="P19" s="1152"/>
      <c r="Q19" s="475"/>
    </row>
    <row r="20" spans="1:17" ht="45">
      <c r="A20" s="1148"/>
      <c r="B20" s="1152"/>
      <c r="C20" s="1154"/>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5030.0536870601336</v>
      </c>
      <c r="C21" s="478">
        <f t="shared" ref="C21:C28" ca="1" si="3">C4*$C$16</f>
        <v>0</v>
      </c>
      <c r="D21" s="478">
        <f t="shared" ref="D21:D30" si="4">D4*$D$16</f>
        <v>6258.9018116680008</v>
      </c>
      <c r="E21" s="478">
        <f t="shared" ref="E21:E30" si="5">E4*$E$16</f>
        <v>927.24745150603087</v>
      </c>
      <c r="F21" s="478">
        <f t="shared" ref="F21:F28" si="6">F4*$F$16</f>
        <v>14835.428076598306</v>
      </c>
      <c r="G21" s="478">
        <f t="shared" ref="G21:G30" si="7">G4*$G$16</f>
        <v>0</v>
      </c>
      <c r="H21" s="478">
        <f t="shared" ref="H21:H30" si="8">H4*$H$16</f>
        <v>0</v>
      </c>
      <c r="I21" s="478">
        <f t="shared" ref="I21:I28" si="9">I4*$I$16</f>
        <v>0</v>
      </c>
      <c r="J21" s="478">
        <f t="shared" ref="J21:J28" si="10">J4*$J$16</f>
        <v>0</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27051.631026832471</v>
      </c>
    </row>
    <row r="22" spans="1:17">
      <c r="A22" s="477" t="s">
        <v>156</v>
      </c>
      <c r="B22" s="478">
        <f t="shared" ca="1" si="2"/>
        <v>2702.0473577507428</v>
      </c>
      <c r="C22" s="478">
        <f t="shared" ca="1" si="3"/>
        <v>0</v>
      </c>
      <c r="D22" s="478">
        <f t="shared" ca="1" si="4"/>
        <v>1430.8119356080003</v>
      </c>
      <c r="E22" s="478">
        <f t="shared" si="5"/>
        <v>47.828397191780255</v>
      </c>
      <c r="F22" s="478">
        <f t="shared" ca="1" si="6"/>
        <v>818.60411654732002</v>
      </c>
      <c r="G22" s="478">
        <f t="shared" si="7"/>
        <v>0</v>
      </c>
      <c r="H22" s="478">
        <f t="shared" si="8"/>
        <v>0</v>
      </c>
      <c r="I22" s="478">
        <f t="shared" si="9"/>
        <v>0</v>
      </c>
      <c r="J22" s="478">
        <f t="shared" si="10"/>
        <v>0</v>
      </c>
      <c r="K22" s="478">
        <f t="shared" si="11"/>
        <v>0</v>
      </c>
      <c r="L22" s="478">
        <f t="shared" ca="1" si="12"/>
        <v>0</v>
      </c>
      <c r="M22" s="478">
        <f t="shared" si="13"/>
        <v>0</v>
      </c>
      <c r="N22" s="478">
        <f t="shared" ca="1" si="14"/>
        <v>0</v>
      </c>
      <c r="O22" s="478">
        <f t="shared" si="15"/>
        <v>0</v>
      </c>
      <c r="P22" s="479">
        <f t="shared" si="16"/>
        <v>0</v>
      </c>
      <c r="Q22" s="477">
        <f t="shared" ref="Q22:Q30" ca="1" si="17">SUM(B22:P22)</f>
        <v>4999.291807097843</v>
      </c>
    </row>
    <row r="23" spans="1:17">
      <c r="A23" s="477" t="s">
        <v>194</v>
      </c>
      <c r="B23" s="478">
        <f t="shared" ca="1" si="2"/>
        <v>168.34516643822974</v>
      </c>
      <c r="C23" s="478"/>
      <c r="D23" s="478"/>
      <c r="E23" s="478"/>
      <c r="F23" s="478"/>
      <c r="G23" s="478"/>
      <c r="H23" s="478"/>
      <c r="I23" s="478"/>
      <c r="J23" s="478"/>
      <c r="K23" s="478"/>
      <c r="L23" s="478"/>
      <c r="M23" s="478"/>
      <c r="N23" s="478"/>
      <c r="O23" s="478"/>
      <c r="P23" s="479"/>
      <c r="Q23" s="477">
        <f t="shared" ca="1" si="17"/>
        <v>168.34516643822974</v>
      </c>
    </row>
    <row r="24" spans="1:17">
      <c r="A24" s="477" t="s">
        <v>112</v>
      </c>
      <c r="B24" s="478">
        <f t="shared" ca="1" si="2"/>
        <v>153.219920163354</v>
      </c>
      <c r="C24" s="478">
        <f t="shared" ca="1" si="3"/>
        <v>0</v>
      </c>
      <c r="D24" s="478">
        <f t="shared" si="4"/>
        <v>23.988614232</v>
      </c>
      <c r="E24" s="478">
        <f t="shared" si="5"/>
        <v>4.7002744307504516</v>
      </c>
      <c r="F24" s="478">
        <f t="shared" si="6"/>
        <v>783.66770226438302</v>
      </c>
      <c r="G24" s="478">
        <f t="shared" si="7"/>
        <v>0</v>
      </c>
      <c r="H24" s="478">
        <f t="shared" si="8"/>
        <v>0</v>
      </c>
      <c r="I24" s="478">
        <f t="shared" si="9"/>
        <v>0</v>
      </c>
      <c r="J24" s="478">
        <f t="shared" si="10"/>
        <v>40.922812284489098</v>
      </c>
      <c r="K24" s="478">
        <f t="shared" si="11"/>
        <v>0</v>
      </c>
      <c r="L24" s="478">
        <f t="shared" si="12"/>
        <v>0</v>
      </c>
      <c r="M24" s="478">
        <f t="shared" si="13"/>
        <v>0</v>
      </c>
      <c r="N24" s="478">
        <f t="shared" si="14"/>
        <v>0</v>
      </c>
      <c r="O24" s="478">
        <f t="shared" si="15"/>
        <v>0</v>
      </c>
      <c r="P24" s="479">
        <f t="shared" si="16"/>
        <v>0</v>
      </c>
      <c r="Q24" s="477">
        <f t="shared" ca="1" si="17"/>
        <v>1006.4993233749765</v>
      </c>
    </row>
    <row r="25" spans="1:17">
      <c r="A25" s="477" t="s">
        <v>638</v>
      </c>
      <c r="B25" s="478">
        <f t="shared" ca="1" si="2"/>
        <v>276.11531291352298</v>
      </c>
      <c r="C25" s="478">
        <f t="shared" ca="1" si="3"/>
        <v>0</v>
      </c>
      <c r="D25" s="478">
        <f t="shared" si="4"/>
        <v>120.71178983600001</v>
      </c>
      <c r="E25" s="478">
        <f t="shared" si="5"/>
        <v>36.865313862658972</v>
      </c>
      <c r="F25" s="478">
        <f t="shared" si="6"/>
        <v>171.62144347419863</v>
      </c>
      <c r="G25" s="478">
        <f t="shared" si="7"/>
        <v>0</v>
      </c>
      <c r="H25" s="478">
        <f t="shared" si="8"/>
        <v>0</v>
      </c>
      <c r="I25" s="478">
        <f t="shared" si="9"/>
        <v>0</v>
      </c>
      <c r="J25" s="478">
        <f t="shared" si="10"/>
        <v>2.6990943719005536</v>
      </c>
      <c r="K25" s="478">
        <f t="shared" si="11"/>
        <v>0</v>
      </c>
      <c r="L25" s="478">
        <f t="shared" si="12"/>
        <v>0</v>
      </c>
      <c r="M25" s="478">
        <f t="shared" si="13"/>
        <v>0</v>
      </c>
      <c r="N25" s="478">
        <f t="shared" si="14"/>
        <v>0</v>
      </c>
      <c r="O25" s="478">
        <f t="shared" si="15"/>
        <v>0</v>
      </c>
      <c r="P25" s="479">
        <f t="shared" si="16"/>
        <v>0</v>
      </c>
      <c r="Q25" s="477">
        <f t="shared" ca="1" si="17"/>
        <v>608.01295445828111</v>
      </c>
    </row>
    <row r="26" spans="1:17" s="483" customFormat="1">
      <c r="A26" s="481" t="s">
        <v>564</v>
      </c>
      <c r="B26" s="835">
        <f t="shared" ca="1" si="2"/>
        <v>3.1406654443961695</v>
      </c>
      <c r="C26" s="482"/>
      <c r="D26" s="482">
        <f t="shared" si="4"/>
        <v>8.2734029480164306</v>
      </c>
      <c r="E26" s="482">
        <f t="shared" si="5"/>
        <v>35.315042210255548</v>
      </c>
      <c r="F26" s="482"/>
      <c r="G26" s="482">
        <f t="shared" si="7"/>
        <v>14759.468682862916</v>
      </c>
      <c r="H26" s="482">
        <f t="shared" si="8"/>
        <v>2723.7672379477472</v>
      </c>
      <c r="I26" s="482"/>
      <c r="J26" s="482"/>
      <c r="K26" s="482"/>
      <c r="L26" s="482"/>
      <c r="M26" s="482">
        <f t="shared" si="13"/>
        <v>0</v>
      </c>
      <c r="N26" s="482"/>
      <c r="O26" s="482"/>
      <c r="P26" s="493"/>
      <c r="Q26" s="481">
        <f t="shared" ca="1" si="17"/>
        <v>17529.965031413332</v>
      </c>
    </row>
    <row r="27" spans="1:17">
      <c r="A27" s="477" t="s">
        <v>554</v>
      </c>
      <c r="B27" s="478">
        <f t="shared" ca="1" si="2"/>
        <v>0</v>
      </c>
      <c r="C27" s="478"/>
      <c r="D27" s="482">
        <f t="shared" si="4"/>
        <v>0</v>
      </c>
      <c r="E27" s="478"/>
      <c r="F27" s="478"/>
      <c r="G27" s="478">
        <f t="shared" si="7"/>
        <v>981.33972723258307</v>
      </c>
      <c r="H27" s="478"/>
      <c r="I27" s="478"/>
      <c r="J27" s="478"/>
      <c r="K27" s="478"/>
      <c r="L27" s="478"/>
      <c r="M27" s="478">
        <f t="shared" si="13"/>
        <v>0</v>
      </c>
      <c r="N27" s="478"/>
      <c r="O27" s="478"/>
      <c r="P27" s="479"/>
      <c r="Q27" s="477">
        <f t="shared" ca="1" si="17"/>
        <v>981.33972723258307</v>
      </c>
    </row>
    <row r="28" spans="1:17">
      <c r="A28" s="477" t="s">
        <v>555</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556</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557</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558</v>
      </c>
      <c r="B31" s="488">
        <f t="shared" ref="B31:Q31" ca="1" si="18">SUM(B21:B30)</f>
        <v>8332.9221097703794</v>
      </c>
      <c r="C31" s="488">
        <f t="shared" ca="1" si="18"/>
        <v>0</v>
      </c>
      <c r="D31" s="488">
        <f t="shared" ca="1" si="18"/>
        <v>7842.6875542920179</v>
      </c>
      <c r="E31" s="488">
        <f t="shared" si="18"/>
        <v>1051.956479201476</v>
      </c>
      <c r="F31" s="488">
        <f t="shared" ca="1" si="18"/>
        <v>16609.321338884209</v>
      </c>
      <c r="G31" s="488">
        <f t="shared" si="18"/>
        <v>15740.8084100955</v>
      </c>
      <c r="H31" s="488">
        <f t="shared" si="18"/>
        <v>2723.7672379477472</v>
      </c>
      <c r="I31" s="488">
        <f t="shared" si="18"/>
        <v>0</v>
      </c>
      <c r="J31" s="488">
        <f t="shared" si="18"/>
        <v>43.621906656389655</v>
      </c>
      <c r="K31" s="488">
        <f t="shared" si="18"/>
        <v>0</v>
      </c>
      <c r="L31" s="488">
        <f t="shared" ca="1" si="18"/>
        <v>0</v>
      </c>
      <c r="M31" s="488">
        <f t="shared" si="18"/>
        <v>0</v>
      </c>
      <c r="N31" s="488">
        <f t="shared" ca="1" si="18"/>
        <v>0</v>
      </c>
      <c r="O31" s="488">
        <f t="shared" si="18"/>
        <v>0</v>
      </c>
      <c r="P31" s="489">
        <f t="shared" si="18"/>
        <v>0</v>
      </c>
      <c r="Q31" s="489">
        <f t="shared" ca="1" si="18"/>
        <v>52345.085036847719</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5" customFormat="1" ht="21">
      <c r="A1" s="1157" t="s">
        <v>553</v>
      </c>
      <c r="B1" s="1158" t="s">
        <v>809</v>
      </c>
      <c r="C1" s="1158"/>
      <c r="D1" s="1158"/>
      <c r="E1" s="1158"/>
      <c r="F1" s="1158"/>
      <c r="G1" s="1158"/>
      <c r="H1" s="1158"/>
      <c r="I1" s="1158"/>
      <c r="J1" s="1158"/>
      <c r="K1" s="1158"/>
      <c r="L1" s="1158"/>
      <c r="M1" s="1158"/>
      <c r="N1" s="1158"/>
      <c r="O1" s="1158"/>
      <c r="P1" s="1159"/>
      <c r="Q1" s="1014"/>
    </row>
    <row r="2" spans="1:17" s="1015" customFormat="1" ht="21">
      <c r="A2" s="1157"/>
      <c r="B2" s="1160" t="s">
        <v>21</v>
      </c>
      <c r="C2" s="1162" t="s">
        <v>196</v>
      </c>
      <c r="D2" s="1164" t="s">
        <v>197</v>
      </c>
      <c r="E2" s="1165"/>
      <c r="F2" s="1165"/>
      <c r="G2" s="1165"/>
      <c r="H2" s="1165"/>
      <c r="I2" s="1165"/>
      <c r="J2" s="1165"/>
      <c r="K2" s="1161"/>
      <c r="L2" s="1164" t="s">
        <v>198</v>
      </c>
      <c r="M2" s="1165"/>
      <c r="N2" s="1165"/>
      <c r="O2" s="1165"/>
      <c r="P2" s="1161"/>
      <c r="Q2" s="1014"/>
    </row>
    <row r="3" spans="1:17" s="1015" customFormat="1" ht="42">
      <c r="A3" s="1157"/>
      <c r="B3" s="1161"/>
      <c r="C3" s="1163"/>
      <c r="D3" s="1016" t="s">
        <v>199</v>
      </c>
      <c r="E3" s="1016" t="s">
        <v>200</v>
      </c>
      <c r="F3" s="1016" t="s">
        <v>201</v>
      </c>
      <c r="G3" s="1016" t="s">
        <v>202</v>
      </c>
      <c r="H3" s="1016" t="s">
        <v>120</v>
      </c>
      <c r="I3" s="1016" t="s">
        <v>203</v>
      </c>
      <c r="J3" s="1016" t="s">
        <v>204</v>
      </c>
      <c r="K3" s="1016" t="s">
        <v>205</v>
      </c>
      <c r="L3" s="1016" t="s">
        <v>206</v>
      </c>
      <c r="M3" s="1016" t="s">
        <v>207</v>
      </c>
      <c r="N3" s="1016" t="s">
        <v>208</v>
      </c>
      <c r="O3" s="1016" t="s">
        <v>209</v>
      </c>
      <c r="P3" s="1016" t="s">
        <v>210</v>
      </c>
      <c r="Q3" s="1014" t="s">
        <v>116</v>
      </c>
    </row>
    <row r="4" spans="1:17" ht="124.35" customHeight="1">
      <c r="A4" s="1017" t="s">
        <v>155</v>
      </c>
      <c r="B4" s="1018" t="s">
        <v>810</v>
      </c>
      <c r="C4" s="1019" t="s">
        <v>811</v>
      </c>
      <c r="D4" s="1020" t="s">
        <v>812</v>
      </c>
      <c r="E4" s="1021" t="s">
        <v>813</v>
      </c>
      <c r="F4" s="1021" t="s">
        <v>814</v>
      </c>
      <c r="G4" s="1022" t="s">
        <v>817</v>
      </c>
      <c r="H4" s="1022" t="s">
        <v>817</v>
      </c>
      <c r="I4" s="1022" t="s">
        <v>817</v>
      </c>
      <c r="J4" s="1021" t="s">
        <v>816</v>
      </c>
      <c r="K4" s="1022" t="s">
        <v>817</v>
      </c>
      <c r="L4" s="1022" t="s">
        <v>817</v>
      </c>
      <c r="M4" s="1022" t="s">
        <v>817</v>
      </c>
      <c r="N4" s="1021" t="s">
        <v>818</v>
      </c>
      <c r="O4" s="1023" t="s">
        <v>819</v>
      </c>
      <c r="P4" s="1024" t="s">
        <v>820</v>
      </c>
      <c r="Q4" s="1025"/>
    </row>
    <row r="5" spans="1:17" ht="124.35" customHeight="1">
      <c r="A5" s="1026" t="s">
        <v>156</v>
      </c>
      <c r="B5" s="1027" t="s">
        <v>821</v>
      </c>
      <c r="C5" s="1028" t="s">
        <v>822</v>
      </c>
      <c r="D5" s="1028" t="s">
        <v>823</v>
      </c>
      <c r="E5" s="1029" t="s">
        <v>824</v>
      </c>
      <c r="F5" s="1029" t="s">
        <v>825</v>
      </c>
      <c r="G5" s="1030" t="s">
        <v>817</v>
      </c>
      <c r="H5" s="1030" t="s">
        <v>817</v>
      </c>
      <c r="I5" s="1030" t="s">
        <v>817</v>
      </c>
      <c r="J5" s="1029" t="s">
        <v>826</v>
      </c>
      <c r="K5" s="1027" t="s">
        <v>827</v>
      </c>
      <c r="L5" s="1030" t="s">
        <v>817</v>
      </c>
      <c r="M5" s="1030" t="s">
        <v>817</v>
      </c>
      <c r="N5" s="1029" t="s">
        <v>828</v>
      </c>
      <c r="O5" s="1031" t="s">
        <v>819</v>
      </c>
      <c r="P5" s="1032" t="s">
        <v>820</v>
      </c>
      <c r="Q5" s="1033"/>
    </row>
    <row r="6" spans="1:17" ht="124.35" customHeight="1">
      <c r="A6" s="1026" t="s">
        <v>194</v>
      </c>
      <c r="B6" s="1034" t="s">
        <v>829</v>
      </c>
      <c r="C6" s="1035" t="s">
        <v>815</v>
      </c>
      <c r="D6" s="1030" t="s">
        <v>815</v>
      </c>
      <c r="E6" s="1030" t="s">
        <v>815</v>
      </c>
      <c r="F6" s="1030" t="s">
        <v>815</v>
      </c>
      <c r="G6" s="1030" t="s">
        <v>815</v>
      </c>
      <c r="H6" s="1030" t="s">
        <v>815</v>
      </c>
      <c r="I6" s="1030" t="s">
        <v>815</v>
      </c>
      <c r="J6" s="1030" t="s">
        <v>815</v>
      </c>
      <c r="K6" s="1030" t="s">
        <v>815</v>
      </c>
      <c r="L6" s="1030" t="s">
        <v>815</v>
      </c>
      <c r="M6" s="1030" t="s">
        <v>815</v>
      </c>
      <c r="N6" s="1030" t="s">
        <v>815</v>
      </c>
      <c r="O6" s="1036" t="s">
        <v>815</v>
      </c>
      <c r="P6" s="1037" t="s">
        <v>815</v>
      </c>
      <c r="Q6" s="1038"/>
    </row>
    <row r="7" spans="1:17" ht="124.35" customHeight="1">
      <c r="A7" s="1026" t="s">
        <v>112</v>
      </c>
      <c r="B7" s="1034" t="s">
        <v>829</v>
      </c>
      <c r="C7" s="1028" t="s">
        <v>822</v>
      </c>
      <c r="D7" s="1028" t="s">
        <v>823</v>
      </c>
      <c r="E7" s="1029" t="s">
        <v>824</v>
      </c>
      <c r="F7" s="1029" t="s">
        <v>825</v>
      </c>
      <c r="G7" s="1030" t="s">
        <v>817</v>
      </c>
      <c r="H7" s="1030" t="s">
        <v>817</v>
      </c>
      <c r="I7" s="1030" t="s">
        <v>817</v>
      </c>
      <c r="J7" s="1029" t="s">
        <v>826</v>
      </c>
      <c r="K7" s="1030" t="s">
        <v>817</v>
      </c>
      <c r="L7" s="1030" t="s">
        <v>817</v>
      </c>
      <c r="M7" s="1030" t="s">
        <v>817</v>
      </c>
      <c r="N7" s="1039" t="s">
        <v>817</v>
      </c>
      <c r="O7" s="1035" t="s">
        <v>817</v>
      </c>
      <c r="P7" s="1040" t="s">
        <v>817</v>
      </c>
      <c r="Q7" s="1033"/>
    </row>
    <row r="8" spans="1:17" ht="124.35" customHeight="1">
      <c r="A8" s="1026" t="s">
        <v>638</v>
      </c>
      <c r="B8" s="1027" t="s">
        <v>830</v>
      </c>
      <c r="C8" s="1028" t="s">
        <v>822</v>
      </c>
      <c r="D8" s="1028" t="s">
        <v>823</v>
      </c>
      <c r="E8" s="1029" t="s">
        <v>824</v>
      </c>
      <c r="F8" s="1029" t="s">
        <v>825</v>
      </c>
      <c r="G8" s="1030" t="s">
        <v>817</v>
      </c>
      <c r="H8" s="1030" t="s">
        <v>817</v>
      </c>
      <c r="I8" s="1030" t="s">
        <v>817</v>
      </c>
      <c r="J8" s="1029" t="s">
        <v>826</v>
      </c>
      <c r="K8" s="1027" t="s">
        <v>827</v>
      </c>
      <c r="L8" s="1030" t="s">
        <v>817</v>
      </c>
      <c r="M8" s="1030" t="s">
        <v>817</v>
      </c>
      <c r="N8" s="1029" t="s">
        <v>828</v>
      </c>
      <c r="O8" s="1031" t="s">
        <v>819</v>
      </c>
      <c r="P8" s="1032" t="s">
        <v>820</v>
      </c>
      <c r="Q8" s="1033"/>
    </row>
    <row r="9" spans="1:17" s="483" customFormat="1" ht="124.35" customHeight="1">
      <c r="A9" s="1041" t="s">
        <v>564</v>
      </c>
      <c r="B9" s="1029" t="s">
        <v>831</v>
      </c>
      <c r="C9" s="1036" t="s">
        <v>815</v>
      </c>
      <c r="D9" s="1029" t="s">
        <v>832</v>
      </c>
      <c r="E9" s="1029" t="s">
        <v>833</v>
      </c>
      <c r="F9" s="1030" t="s">
        <v>815</v>
      </c>
      <c r="G9" s="1029" t="s">
        <v>834</v>
      </c>
      <c r="H9" s="1029" t="s">
        <v>835</v>
      </c>
      <c r="I9" s="1030" t="s">
        <v>815</v>
      </c>
      <c r="J9" s="1030" t="s">
        <v>815</v>
      </c>
      <c r="K9" s="1030" t="s">
        <v>815</v>
      </c>
      <c r="L9" s="1030" t="s">
        <v>815</v>
      </c>
      <c r="M9" s="1029" t="s">
        <v>831</v>
      </c>
      <c r="N9" s="1030" t="s">
        <v>815</v>
      </c>
      <c r="O9" s="1030" t="s">
        <v>815</v>
      </c>
      <c r="P9" s="1042" t="s">
        <v>815</v>
      </c>
      <c r="Q9" s="1043"/>
    </row>
    <row r="10" spans="1:17" ht="124.35" customHeight="1">
      <c r="A10" s="1026" t="s">
        <v>554</v>
      </c>
      <c r="B10" s="1027" t="s">
        <v>846</v>
      </c>
      <c r="C10" s="1036" t="s">
        <v>815</v>
      </c>
      <c r="D10" s="1036" t="s">
        <v>815</v>
      </c>
      <c r="E10" s="1036" t="s">
        <v>815</v>
      </c>
      <c r="F10" s="1030" t="s">
        <v>815</v>
      </c>
      <c r="G10" s="1027" t="s">
        <v>836</v>
      </c>
      <c r="H10" s="1030" t="s">
        <v>815</v>
      </c>
      <c r="I10" s="1030" t="s">
        <v>815</v>
      </c>
      <c r="J10" s="1030" t="s">
        <v>815</v>
      </c>
      <c r="K10" s="1030" t="s">
        <v>815</v>
      </c>
      <c r="L10" s="1030" t="s">
        <v>815</v>
      </c>
      <c r="M10" s="1027" t="s">
        <v>837</v>
      </c>
      <c r="N10" s="1030" t="s">
        <v>815</v>
      </c>
      <c r="O10" s="1030" t="s">
        <v>815</v>
      </c>
      <c r="P10" s="1042" t="s">
        <v>815</v>
      </c>
      <c r="Q10" s="1033"/>
    </row>
    <row r="11" spans="1:17" ht="21">
      <c r="A11" s="1026" t="s">
        <v>555</v>
      </c>
      <c r="B11" s="1044" t="s">
        <v>838</v>
      </c>
      <c r="C11" s="1044" t="s">
        <v>838</v>
      </c>
      <c r="D11" s="1044" t="s">
        <v>838</v>
      </c>
      <c r="E11" s="1044" t="s">
        <v>838</v>
      </c>
      <c r="F11" s="1044" t="s">
        <v>838</v>
      </c>
      <c r="G11" s="1044" t="s">
        <v>838</v>
      </c>
      <c r="H11" s="1044" t="s">
        <v>838</v>
      </c>
      <c r="I11" s="1044" t="s">
        <v>838</v>
      </c>
      <c r="J11" s="1044" t="s">
        <v>838</v>
      </c>
      <c r="K11" s="1044" t="s">
        <v>838</v>
      </c>
      <c r="L11" s="1044" t="s">
        <v>838</v>
      </c>
      <c r="M11" s="1044" t="s">
        <v>838</v>
      </c>
      <c r="N11" s="1044" t="s">
        <v>838</v>
      </c>
      <c r="O11" s="1044" t="s">
        <v>838</v>
      </c>
      <c r="P11" s="1062" t="s">
        <v>838</v>
      </c>
      <c r="Q11" s="1063"/>
    </row>
    <row r="12" spans="1:17" ht="21">
      <c r="A12" s="1026" t="s">
        <v>556</v>
      </c>
      <c r="B12" s="1044" t="s">
        <v>838</v>
      </c>
      <c r="C12" s="1044" t="s">
        <v>815</v>
      </c>
      <c r="D12" s="1044" t="s">
        <v>815</v>
      </c>
      <c r="E12" s="1044" t="s">
        <v>815</v>
      </c>
      <c r="F12" s="1044" t="s">
        <v>815</v>
      </c>
      <c r="G12" s="1044" t="s">
        <v>815</v>
      </c>
      <c r="H12" s="1044" t="s">
        <v>815</v>
      </c>
      <c r="I12" s="1044" t="s">
        <v>815</v>
      </c>
      <c r="J12" s="1044" t="s">
        <v>815</v>
      </c>
      <c r="K12" s="1044" t="s">
        <v>815</v>
      </c>
      <c r="L12" s="1044" t="s">
        <v>815</v>
      </c>
      <c r="M12" s="1044" t="s">
        <v>815</v>
      </c>
      <c r="N12" s="1044" t="s">
        <v>815</v>
      </c>
      <c r="O12" s="1044" t="s">
        <v>815</v>
      </c>
      <c r="P12" s="1045" t="s">
        <v>815</v>
      </c>
      <c r="Q12" s="479"/>
    </row>
    <row r="13" spans="1:17" ht="21">
      <c r="A13" s="1046" t="s">
        <v>557</v>
      </c>
      <c r="B13" s="1047" t="s">
        <v>838</v>
      </c>
      <c r="C13" s="478" t="s">
        <v>815</v>
      </c>
      <c r="D13" s="485" t="s">
        <v>838</v>
      </c>
      <c r="E13" s="485" t="s">
        <v>838</v>
      </c>
      <c r="F13" s="485" t="s">
        <v>815</v>
      </c>
      <c r="G13" s="485" t="s">
        <v>838</v>
      </c>
      <c r="H13" s="485" t="s">
        <v>838</v>
      </c>
      <c r="I13" s="485" t="s">
        <v>815</v>
      </c>
      <c r="J13" s="485" t="s">
        <v>815</v>
      </c>
      <c r="K13" s="485" t="s">
        <v>815</v>
      </c>
      <c r="L13" s="485" t="s">
        <v>815</v>
      </c>
      <c r="M13" s="1048" t="s">
        <v>838</v>
      </c>
      <c r="N13" s="485" t="s">
        <v>815</v>
      </c>
      <c r="O13" s="485" t="s">
        <v>815</v>
      </c>
      <c r="P13" s="485" t="s">
        <v>815</v>
      </c>
      <c r="Q13" s="484"/>
    </row>
    <row r="14" spans="1:17" s="490" customFormat="1" ht="21">
      <c r="A14" s="1049" t="s">
        <v>558</v>
      </c>
      <c r="B14" s="1050"/>
      <c r="C14" s="1050"/>
      <c r="D14" s="1050"/>
      <c r="E14" s="1050"/>
      <c r="F14" s="1050"/>
      <c r="G14" s="1050"/>
      <c r="H14" s="1050"/>
      <c r="I14" s="1050"/>
      <c r="J14" s="1050"/>
      <c r="K14" s="1050"/>
      <c r="L14" s="1050"/>
      <c r="M14" s="1051"/>
      <c r="N14" s="1050"/>
      <c r="O14" s="1050"/>
      <c r="P14" s="1052"/>
      <c r="Q14" s="1053"/>
    </row>
    <row r="15" spans="1:17">
      <c r="M15" s="1054"/>
    </row>
    <row r="16" spans="1:17">
      <c r="B16" s="1055">
        <v>1</v>
      </c>
      <c r="C16" s="1056">
        <v>2</v>
      </c>
      <c r="D16" s="1057">
        <v>3</v>
      </c>
    </row>
    <row r="17" spans="1:4" ht="252">
      <c r="A17" s="1058" t="s">
        <v>839</v>
      </c>
      <c r="B17" s="1059" t="s">
        <v>840</v>
      </c>
      <c r="C17" s="1060" t="s">
        <v>841</v>
      </c>
      <c r="D17" s="1061" t="s">
        <v>842</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8" t="s">
        <v>386</v>
      </c>
      <c r="B1" s="1166" t="s">
        <v>195</v>
      </c>
      <c r="C1" s="1167"/>
      <c r="D1" s="1167"/>
      <c r="E1" s="1167"/>
      <c r="F1" s="1167"/>
      <c r="G1" s="1167"/>
      <c r="H1" s="1167"/>
      <c r="I1" s="1167"/>
      <c r="J1" s="1167"/>
      <c r="K1" s="1167"/>
      <c r="L1" s="1167"/>
      <c r="M1" s="1167"/>
      <c r="N1" s="1167"/>
      <c r="O1" s="1167"/>
      <c r="P1" s="1167"/>
    </row>
    <row r="2" spans="1:16" ht="15" customHeight="1" outlineLevel="1" thickTop="1">
      <c r="A2" s="1148"/>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48"/>
      <c r="B3" s="1154"/>
      <c r="C3" s="115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613</v>
      </c>
      <c r="B4" s="494"/>
      <c r="C4" s="494"/>
      <c r="D4" s="494"/>
      <c r="E4" s="494"/>
      <c r="F4" s="494"/>
      <c r="G4" s="526"/>
      <c r="H4" s="526"/>
      <c r="I4" s="494"/>
      <c r="J4" s="494"/>
      <c r="K4" s="494"/>
      <c r="L4" s="494"/>
      <c r="M4" s="494"/>
      <c r="N4" s="494"/>
      <c r="O4" s="494"/>
      <c r="P4" s="494"/>
    </row>
    <row r="5" spans="1:16" outlineLevel="1">
      <c r="A5" s="713" t="s">
        <v>614</v>
      </c>
      <c r="B5" s="494"/>
      <c r="C5" s="494"/>
      <c r="D5" s="494"/>
      <c r="E5" s="494"/>
      <c r="F5" s="494"/>
      <c r="G5" s="526"/>
      <c r="H5" s="526"/>
      <c r="I5" s="494"/>
      <c r="J5" s="494"/>
      <c r="K5" s="494"/>
      <c r="L5" s="494"/>
      <c r="M5" s="494"/>
      <c r="N5" s="494"/>
      <c r="O5" s="494"/>
      <c r="P5" s="494"/>
    </row>
    <row r="6" spans="1:16" outlineLevel="1">
      <c r="A6" s="713" t="s">
        <v>615</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616</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617</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579</v>
      </c>
      <c r="B13" s="478"/>
      <c r="C13" s="498"/>
      <c r="D13" s="498"/>
      <c r="E13" s="498"/>
      <c r="F13" s="498"/>
      <c r="G13" s="498"/>
      <c r="H13" s="498"/>
      <c r="I13" s="498"/>
      <c r="J13" s="498"/>
      <c r="K13" s="498"/>
      <c r="L13" s="498"/>
      <c r="M13" s="498"/>
      <c r="N13" s="498"/>
      <c r="O13" s="842" t="s">
        <v>634</v>
      </c>
      <c r="P13" s="842" t="s">
        <v>633</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0.19081150369475375</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486</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655</v>
      </c>
      <c r="E24" s="479"/>
    </row>
    <row r="25" spans="1:16" s="478" customFormat="1" outlineLevel="1">
      <c r="A25" s="515" t="s">
        <v>453</v>
      </c>
      <c r="B25" s="48">
        <v>4.2</v>
      </c>
      <c r="C25" s="516"/>
      <c r="D25" s="517" t="s">
        <v>510</v>
      </c>
      <c r="E25" s="493"/>
    </row>
    <row r="26" spans="1:16" s="478" customFormat="1" outlineLevel="1">
      <c r="A26" s="846" t="s">
        <v>454</v>
      </c>
      <c r="B26" s="847">
        <f>1.34/3.6</f>
        <v>0.37222222222222223</v>
      </c>
      <c r="C26" s="516" t="s">
        <v>218</v>
      </c>
      <c r="D26" s="517" t="s">
        <v>510</v>
      </c>
      <c r="E26" s="493"/>
    </row>
    <row r="27" spans="1:16" s="478" customFormat="1" outlineLevel="1">
      <c r="A27" s="518" t="s">
        <v>625</v>
      </c>
      <c r="B27" s="849">
        <f>B24*B25*B26</f>
        <v>0</v>
      </c>
      <c r="C27" s="519" t="s">
        <v>626</v>
      </c>
      <c r="D27" s="520"/>
      <c r="E27" s="521"/>
    </row>
    <row r="28" spans="1:16" s="478" customFormat="1" outlineLevel="1">
      <c r="A28" s="48"/>
      <c r="B28" s="48"/>
      <c r="C28" s="522"/>
      <c r="D28" s="516"/>
    </row>
    <row r="29" spans="1:16" s="478" customFormat="1" outlineLevel="1">
      <c r="A29" s="523" t="s">
        <v>487</v>
      </c>
      <c r="B29" s="507"/>
      <c r="C29" s="508"/>
      <c r="D29" s="509"/>
      <c r="E29" s="510"/>
    </row>
    <row r="30" spans="1:16" s="48" customFormat="1" outlineLevel="1">
      <c r="A30" s="524"/>
      <c r="B30" s="512"/>
      <c r="C30" s="513" t="s">
        <v>377</v>
      </c>
      <c r="D30" s="513" t="s">
        <v>182</v>
      </c>
      <c r="E30" s="514"/>
    </row>
    <row r="31" spans="1:16" s="478" customFormat="1" outlineLevel="1">
      <c r="A31" s="515" t="s">
        <v>452</v>
      </c>
      <c r="B31" s="47">
        <f>EigenWP</f>
        <v>0</v>
      </c>
      <c r="C31" s="516"/>
      <c r="D31" s="964" t="s">
        <v>655</v>
      </c>
      <c r="E31" s="479"/>
    </row>
    <row r="32" spans="1:16" s="478" customFormat="1" outlineLevel="1">
      <c r="A32" s="515" t="s">
        <v>450</v>
      </c>
      <c r="B32" s="48">
        <v>13</v>
      </c>
      <c r="C32" s="522" t="s">
        <v>263</v>
      </c>
      <c r="D32" s="517" t="s">
        <v>510</v>
      </c>
      <c r="E32" s="479"/>
    </row>
    <row r="33" spans="1:5" s="478" customFormat="1" outlineLevel="1">
      <c r="A33" s="515" t="s">
        <v>451</v>
      </c>
      <c r="B33" s="48">
        <v>2000</v>
      </c>
      <c r="C33" s="522" t="s">
        <v>265</v>
      </c>
      <c r="D33" s="517" t="s">
        <v>510</v>
      </c>
      <c r="E33" s="479"/>
    </row>
    <row r="34" spans="1:5" s="478" customFormat="1" outlineLevel="1">
      <c r="A34" s="846" t="s">
        <v>382</v>
      </c>
      <c r="B34" s="48">
        <v>3.75</v>
      </c>
      <c r="C34" s="522"/>
      <c r="D34" s="517" t="s">
        <v>510</v>
      </c>
      <c r="E34" s="479"/>
    </row>
    <row r="35" spans="1:5" s="478" customFormat="1" outlineLevel="1">
      <c r="A35" s="518" t="s">
        <v>625</v>
      </c>
      <c r="B35" s="848">
        <f>B31*B32*B33/1000-B31*B32*B33/1000/B34</f>
        <v>0</v>
      </c>
      <c r="C35" s="525" t="s">
        <v>626</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8" t="s">
        <v>386</v>
      </c>
      <c r="B1" s="1166" t="s">
        <v>195</v>
      </c>
      <c r="C1" s="1167"/>
      <c r="D1" s="1167"/>
      <c r="E1" s="1167"/>
      <c r="F1" s="1167"/>
      <c r="G1" s="1167"/>
      <c r="H1" s="1167"/>
      <c r="I1" s="1167"/>
      <c r="J1" s="1167"/>
      <c r="K1" s="1167"/>
      <c r="L1" s="1167"/>
      <c r="M1" s="1167"/>
      <c r="N1" s="1167"/>
      <c r="O1" s="1167"/>
      <c r="P1" s="1167"/>
    </row>
    <row r="2" spans="1:16" ht="15" customHeight="1" outlineLevel="1" thickTop="1">
      <c r="A2" s="1148"/>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48"/>
      <c r="B3" s="1154"/>
      <c r="C3" s="115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579</v>
      </c>
      <c r="B13" s="478"/>
      <c r="C13" s="498"/>
      <c r="D13" s="498"/>
      <c r="E13" s="498"/>
      <c r="F13" s="498"/>
      <c r="G13" s="498"/>
      <c r="H13" s="498"/>
      <c r="I13" s="498"/>
      <c r="J13" s="498"/>
      <c r="K13" s="498"/>
      <c r="L13" s="498"/>
      <c r="M13" s="498"/>
      <c r="N13" s="498"/>
      <c r="O13" s="1172"/>
      <c r="P13" s="1172"/>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0.19081150369475375</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8" t="s">
        <v>328</v>
      </c>
      <c r="B1" s="1166" t="s">
        <v>195</v>
      </c>
      <c r="C1" s="1167"/>
      <c r="D1" s="1167"/>
      <c r="E1" s="1167"/>
      <c r="F1" s="1167"/>
      <c r="G1" s="1167"/>
      <c r="H1" s="1167"/>
      <c r="I1" s="1167"/>
      <c r="J1" s="1167"/>
      <c r="K1" s="1167"/>
      <c r="L1" s="1167"/>
      <c r="M1" s="1167"/>
      <c r="N1" s="1167"/>
      <c r="O1" s="1167"/>
      <c r="P1" s="1167"/>
    </row>
    <row r="2" spans="1:16" ht="15" customHeight="1" thickTop="1">
      <c r="A2" s="1148"/>
      <c r="B2" s="1168" t="s">
        <v>21</v>
      </c>
      <c r="C2" s="1168" t="s">
        <v>196</v>
      </c>
      <c r="D2" s="1169" t="s">
        <v>197</v>
      </c>
      <c r="E2" s="1170"/>
      <c r="F2" s="1170"/>
      <c r="G2" s="1170"/>
      <c r="H2" s="1170"/>
      <c r="I2" s="1170"/>
      <c r="J2" s="1170"/>
      <c r="K2" s="1171"/>
      <c r="L2" s="1169" t="s">
        <v>198</v>
      </c>
      <c r="M2" s="1170"/>
      <c r="N2" s="1170"/>
      <c r="O2" s="1170"/>
      <c r="P2" s="1171"/>
    </row>
    <row r="3" spans="1:16" ht="56.25" customHeight="1">
      <c r="A3" s="1148"/>
      <c r="B3" s="1154"/>
      <c r="C3" s="115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579</v>
      </c>
    </row>
    <row r="26" spans="1:16" s="490" customFormat="1">
      <c r="A26" s="499" t="s">
        <v>528</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597</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606</v>
      </c>
      <c r="B29" s="529">
        <f ca="1">'EF ele_warmte'!B12</f>
        <v>0.19081150369475375</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2015</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2019-01-01T21:25:35Z</dcterms:modified>
</cp:coreProperties>
</file>