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6" i="17"/>
  <c r="D8" s="1"/>
  <c r="D12" s="1"/>
  <c r="E48" i="14" s="1"/>
  <c r="J15"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P13" i="14" l="1"/>
  <c r="P15" s="1"/>
  <c r="P23" s="1"/>
  <c r="P55"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J8" i="48" l="1"/>
  <c r="J25" s="1"/>
  <c r="O13" i="14"/>
  <c r="O15" s="1"/>
  <c r="N55"/>
  <c r="Q5" i="48"/>
  <c r="N25"/>
  <c r="N31" s="1"/>
  <c r="N14"/>
  <c r="E25"/>
  <c r="E31" s="1"/>
  <c r="E14"/>
  <c r="K13" i="14"/>
  <c r="K15" s="1"/>
  <c r="K23" s="1"/>
  <c r="H55"/>
  <c r="E55"/>
  <c r="C78"/>
  <c r="C81" s="1"/>
  <c r="J31" i="48"/>
  <c r="Q8"/>
  <c r="R19" i="14"/>
  <c r="R20" s="1"/>
  <c r="H14" i="48"/>
  <c r="G31"/>
  <c r="H26"/>
  <c r="H31" s="1"/>
  <c r="F55" i="14"/>
  <c r="O53"/>
  <c r="G53"/>
  <c r="G55" s="1"/>
  <c r="O69" s="1"/>
  <c r="B9" i="6" s="1"/>
  <c r="B12" s="1"/>
  <c r="M53" i="14"/>
  <c r="M55" s="1"/>
  <c r="C12" i="13"/>
  <c r="D37" i="14" s="1"/>
  <c r="D41" s="1"/>
  <c r="C24" i="48"/>
  <c r="C28"/>
  <c r="C22"/>
  <c r="C25"/>
  <c r="C21"/>
  <c r="K55" i="14"/>
  <c r="R13"/>
  <c r="R15" s="1"/>
  <c r="F25" i="48"/>
  <c r="F31" s="1"/>
  <c r="F14"/>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<sst xmlns="http://schemas.openxmlformats.org/spreadsheetml/2006/main" count="2111" uniqueCount="855">
  <si>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</si>
  <si>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</si>
  <si>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</si>
  <si>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</si>
  <si>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</si>
  <si>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</si>
  <si>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</si>
  <si>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</si>
  <si>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</si>
  <si>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</si>
  <si>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</si>
  <si>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</si>
  <si>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</si>
  <si>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</si>
  <si>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</si>
  <si>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</si>
  <si>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</si>
  <si>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</si>
  <si>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</si>
  <si>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</si>
  <si>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</si>
  <si>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</si>
  <si>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</si>
  <si>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</si>
  <si>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</si>
  <si>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</si>
  <si>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</si>
  <si>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</si>
  <si>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</si>
  <si>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</si>
  <si>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</si>
  <si>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</si>
  <si>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</si>
  <si>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</si>
  <si>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</si>
  <si>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</si>
  <si>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</si>
  <si>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</si>
  <si>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</si>
  <si>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</si>
  <si>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</si>
  <si>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</si>
  <si>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</si>
  <si>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</si>
  <si>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</si>
  <si>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</si>
  <si>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</si>
  <si>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</si>
  <si>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</si>
  <si>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</si>
  <si>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</si>
  <si>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</si>
  <si>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</si>
  <si>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</si>
  <si>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</si>
  <si>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</si>
  <si>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</si>
  <si>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</si>
  <si>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</si>
  <si>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</si>
  <si>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</si>
  <si>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</si>
  <si>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</si>
  <si>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</si>
  <si>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</si>
  <si>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</si>
  <si>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</si>
  <si>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</si>
  <si>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</si>
  <si>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</si>
  <si>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</si>
  <si>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</si>
  <si>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</si>
  <si>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</si>
  <si>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</si>
  <si>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</si>
  <si>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</si>
  <si>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</si>
  <si>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</si>
  <si>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</si>
  <si>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</si>
  <si>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</si>
  <si>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</si>
  <si>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</si>
  <si>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</si>
  <si>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</si>
  <si>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</si>
  <si>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</si>
  <si>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</si>
  <si>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</si>
  <si>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</si>
  <si>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</si>
  <si>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</si>
  <si>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</si>
  <si>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</si>
  <si>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</si>
  <si>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</si>
  <si>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</si>
  <si>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</si>
  <si>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</si>
  <si>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</si>
  <si>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</si>
  <si>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</si>
  <si>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</si>
  <si>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</si>
  <si>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</si>
  <si>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</si>
  <si>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</si>
  <si>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</si>
  <si>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</si>
  <si>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</si>
  <si>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</si>
  <si>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</si>
  <si>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</si>
  <si>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</si>
  <si>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</si>
  <si>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</si>
  <si>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</si>
  <si>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</si>
  <si>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</si>
  <si>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</si>
  <si>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</si>
  <si>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</si>
  <si>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</si>
  <si>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</si>
  <si>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</si>
  <si>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</si>
  <si>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</si>
  <si>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</si>
  <si>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</si>
  <si>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</si>
  <si>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</si>
  <si>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</si>
  <si>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</si>
  <si>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</si>
  <si>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</si>
  <si>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</si>
  <si>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</si>
  <si>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</si>
  <si>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</si>
  <si>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</si>
  <si>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</si>
  <si>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</si>
  <si>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</si>
  <si>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</si>
  <si>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</si>
  <si>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</si>
  <si>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</si>
  <si>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</si>
  <si>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</si>
  <si>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</si>
  <si>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</si>
  <si>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</si>
  <si>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</si>
  <si>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</si>
  <si>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</si>
  <si>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</si>
  <si>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</si>
  <si>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</si>
  <si>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</si>
  <si>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</si>
  <si>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</si>
  <si>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</si>
  <si>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</si>
  <si>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</si>
  <si>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</si>
  <si>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</si>
  <si>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</si>
  <si>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</si>
  <si>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</si>
  <si>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</si>
  <si>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</si>
  <si>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</si>
  <si>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</si>
  <si>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</si>
  <si>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</si>
  <si>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</si>
  <si>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</si>
  <si>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</si>
  <si>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</si>
  <si>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</si>
  <si>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</si>
  <si>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</si>
  <si>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</si>
  <si>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</si>
  <si>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</si>
  <si>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</si>
  <si>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</si>
  <si>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</si>
  <si>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</si>
  <si>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</si>
  <si>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</si>
  <si>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</si>
  <si>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</si>
  <si>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</si>
  <si>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</si>
  <si>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</si>
  <si>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</si>
  <si>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</si>
  <si>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</si>
  <si>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</si>
  <si>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</si>
  <si>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</si>
  <si>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</si>
  <si>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</si>
  <si>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</si>
  <si>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</si>
  <si>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</si>
  <si>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</si>
  <si>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</si>
  <si>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</si>
  <si>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</si>
  <si>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</si>
  <si>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</si>
  <si>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</si>
  <si>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</si>
  <si>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</si>
  <si>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</si>
  <si>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</si>
  <si>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</si>
  <si>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</si>
  <si>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</si>
  <si>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</si>
  <si>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</si>
  <si>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</si>
  <si>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</si>
  <si>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</si>
  <si>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</si>
  <si>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</si>
  <si>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</si>
  <si>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</si>
  <si>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</si>
  <si>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</si>
  <si>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</si>
  <si>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</si>
  <si>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</si>
  <si>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</si>
  <si>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</si>
  <si>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</si>
  <si>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</si>
  <si>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</si>
  <si>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</si>
  <si>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</si>
  <si>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</si>
  <si>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</si>
  <si>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</si>
  <si>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</si>
  <si>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</si>
  <si>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</si>
  <si>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</si>
  <si>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</si>
  <si>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</si>
  <si>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</si>
  <si>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</si>
  <si>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</si>
  <si>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</si>
  <si>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</si>
  <si>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</si>
  <si>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</si>
  <si>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</si>
  <si>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</si>
  <si>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</si>
  <si>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</si>
  <si>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</si>
  <si>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</si>
  <si>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</si>
  <si>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</si>
  <si>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</si>
  <si>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</si>
  <si>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</si>
  <si>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</si>
  <si>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</si>
  <si>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</si>
  <si>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</si>
  <si>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</si>
  <si>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</si>
  <si>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</si>
  <si>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</si>
  <si>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</si>
  <si>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</si>
  <si>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</si>
  <si>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</si>
  <si>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</si>
  <si>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</si>
  <si>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</si>
  <si>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</si>
  <si>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</si>
  <si>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</si>
  <si>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</si>
  <si>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</si>
  <si>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</si>
  <si>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</si>
  <si>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</si>
  <si>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</si>
  <si>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</si>
  <si>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</si>
  <si>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</si>
  <si>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</si>
  <si>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</si>
  <si>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</si>
  <si>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</si>
  <si>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</si>
  <si>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</si>
  <si>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</si>
  <si>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</si>
  <si>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</si>
  <si>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</si>
  <si>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</si>
  <si>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</si>
  <si>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</si>
  <si>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</si>
  <si>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</si>
  <si>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</si>
  <si>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</si>
  <si>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</si>
  <si>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</si>
  <si>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</si>
  <si>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</si>
  <si>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</si>
  <si>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</si>
  <si>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</si>
  <si>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</si>
  <si>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</si>
  <si>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</si>
  <si>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</si>
  <si>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</si>
  <si>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</si>
  <si>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</si>
  <si>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</si>
  <si>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</si>
  <si>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</si>
  <si>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</si>
  <si>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</si>
  <si>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</si>
  <si>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</si>
  <si>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</si>
  <si>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</si>
  <si>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</si>
  <si>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</si>
  <si>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</si>
  <si>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</si>
  <si>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</si>
  <si>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</si>
  <si>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</si>
  <si>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</si>
  <si>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</si>
  <si>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</si>
  <si>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</si>
  <si>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</si>
  <si>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</si>
  <si>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</si>
  <si>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</si>
  <si>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</si>
  <si>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</si>
  <si>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</si>
  <si>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</si>
  <si>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</si>
  <si>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</si>
  <si>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</si>
  <si>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</si>
  <si>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</si>
  <si>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</si>
  <si>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</si>
  <si>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</si>
  <si>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</si>
  <si>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</si>
  <si>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</si>
  <si>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</si>
  <si>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</si>
  <si>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</si>
  <si>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</si>
  <si>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</si>
  <si>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</si>
  <si>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</si>
  <si>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</si>
  <si>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</si>
  <si>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</si>
  <si>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</si>
  <si>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</si>
  <si>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</si>
  <si>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</si>
  <si>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</si>
  <si>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</si>
  <si>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</si>
  <si>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</si>
  <si>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</si>
  <si>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</si>
  <si>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</si>
  <si>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</si>
  <si>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</si>
  <si>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</si>
  <si>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</si>
  <si>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</si>
  <si>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</si>
  <si>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</si>
  <si>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</si>
  <si>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</si>
  <si>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</si>
  <si>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</si>
  <si>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</si>
  <si>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</si>
  <si>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</si>
  <si>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</si>
  <si>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</si>
  <si>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</si>
  <si>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</si>
  <si>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</si>
  <si>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</si>
  <si>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</si>
  <si>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</si>
  <si>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</si>
  <si>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</si>
  <si>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</si>
  <si>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</si>
  <si>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</si>
  <si>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</si>
  <si>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</si>
  <si>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</si>
  <si>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</si>
  <si>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</si>
  <si>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</si>
  <si>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</si>
  <si>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</si>
  <si>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</si>
  <si>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</si>
  <si>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</si>
  <si>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</si>
  <si>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</si>
  <si>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</si>
  <si>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</si>
  <si>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</si>
  <si>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</si>
  <si>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</si>
  <si>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</si>
  <si>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</si>
  <si>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</si>
  <si>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</si>
  <si>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</si>
  <si>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</si>
  <si>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</si>
  <si>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</si>
  <si>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</si>
  <si>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</si>
  <si>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</si>
  <si>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</si>
  <si>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</si>
  <si>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</si>
  <si>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</si>
  <si>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</si>
  <si>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</si>
  <si>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</si>
  <si>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</si>
  <si>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</si>
  <si>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</si>
  <si>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</si>
  <si>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</si>
  <si>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</si>
  <si>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</si>
  <si>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</si>
  <si>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</si>
  <si>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</si>
  <si>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</si>
  <si>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</si>
  <si>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</si>
  <si>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</si>
  <si>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</si>
  <si>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</si>
  <si>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</si>
  <si>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</si>
  <si>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</si>
  <si>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</si>
  <si>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</si>
  <si>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</si>
  <si>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</si>
  <si>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</si>
  <si>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</si>
  <si>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</si>
  <si>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</si>
  <si>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</si>
  <si>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</si>
  <si>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</si>
  <si>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</si>
  <si>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</si>
  <si>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</si>
  <si>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</si>
  <si>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</si>
  <si>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</si>
  <si>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</si>
  <si>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</si>
  <si>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</si>
  <si>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</si>
  <si>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</si>
  <si>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</si>
  <si>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</si>
  <si>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</si>
  <si>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</si>
  <si>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</si>
  <si>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</si>
  <si>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</si>
  <si>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</si>
  <si>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</si>
  <si>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</si>
  <si>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</si>
  <si>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</si>
  <si>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</si>
  <si>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</si>
  <si>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</si>
  <si>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</si>
  <si>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</si>
  <si>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</si>
  <si>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</si>
  <si>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</si>
  <si>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</si>
  <si>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</si>
  <si>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</si>
  <si>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</si>
  <si>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</si>
  <si>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</si>
  <si>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</si>
  <si>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</si>
  <si>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</si>
  <si>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</si>
  <si>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</si>
  <si>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</si>
  <si>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</si>
  <si>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</si>
  <si>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</si>
  <si>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</si>
  <si>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</si>
  <si>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</si>
  <si>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</si>
  <si>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</si>
  <si>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</si>
  <si>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</si>
  <si>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</si>
  <si>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</si>
  <si>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</si>
  <si>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</si>
  <si>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</si>
  <si>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</si>
  <si>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</si>
  <si>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</si>
  <si>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</si>
  <si>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</si>
  <si>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</si>
  <si>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</si>
  <si>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</si>
  <si>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</si>
  <si>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</si>
  <si>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</si>
  <si>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</si>
  <si>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</si>
  <si>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</si>
  <si>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</si>
  <si>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</si>
  <si>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</si>
  <si>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</si>
  <si>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</si>
  <si>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</si>
  <si>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</si>
  <si>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</si>
  <si>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</si>
  <si>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</si>
  <si>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</si>
  <si>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</si>
  <si>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</si>
  <si>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</si>
  <si>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</si>
  <si>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</si>
  <si>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</si>
  <si>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</si>
  <si>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</si>
  <si>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</si>
  <si>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</si>
  <si>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</si>
  <si>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</si>
  <si>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</si>
  <si>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</si>
  <si>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</si>
  <si>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</si>
  <si>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</si>
  <si>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</si>
  <si>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</si>
  <si>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</si>
  <si>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</si>
  <si>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</si>
  <si>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</si>
  <si>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</si>
  <si>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</si>
  <si>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</si>
  <si>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</si>
  <si>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</si>
  <si>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</si>
  <si>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</si>
  <si>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</si>
  <si>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</si>
  <si>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</si>
  <si>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</si>
  <si>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</si>
  <si>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</si>
  <si>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</si>
  <si>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</si>
  <si>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</si>
  <si>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</si>
  <si>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</si>
  <si>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</si>
  <si>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</si>
  <si>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</si>
  <si>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</si>
  <si>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</si>
  <si>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</si>
  <si>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</si>
  <si>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</si>
  <si>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</si>
  <si>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</si>
  <si>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</si>
  <si>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</si>
  <si>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</si>
  <si>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</si>
  <si>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</si>
  <si>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</si>
  <si>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</si>
  <si>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</si>
  <si>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</si>
  <si>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</si>
  <si>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</si>
  <si>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</si>
  <si>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</si>
  <si>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</si>
  <si>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</si>
  <si>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</si>
  <si>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</si>
  <si>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</si>
  <si>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</si>
  <si>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</si>
  <si>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</si>
  <si>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</si>
  <si>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</si>
  <si>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</si>
  <si>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</si>
  <si>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</si>
  <si>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</si>
  <si>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</si>
  <si>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</si>
  <si>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</si>
  <si>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</si>
  <si>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</si>
  <si>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</si>
  <si>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</si>
  <si>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</si>
  <si>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</si>
  <si>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</si>
  <si>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</si>
  <si>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</si>
  <si>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</si>
  <si>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</si>
  <si>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</si>
  <si>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</si>
  <si>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</si>
  <si>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</si>
  <si>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</si>
  <si>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</si>
  <si>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</si>
  <si>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</si>
  <si>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</si>
  <si>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</si>
  <si>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</si>
  <si>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</si>
  <si>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</si>
  <si>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</si>
  <si>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</si>
  <si>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</si>
  <si>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</si>
  <si>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</si>
  <si>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</si>
  <si>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</si>
  <si>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</si>
  <si>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</si>
  <si>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</si>
  <si>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</si>
  <si>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</si>
  <si>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</si>
  <si>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</si>
  <si>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</si>
  <si>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</si>
  <si>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</si>
  <si>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</si>
  <si>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</si>
  <si>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</si>
  <si>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</si>
  <si>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</si>
  <si>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</si>
  <si>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</si>
  <si>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</si>
  <si>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</si>
  <si>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</si>
  <si>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</si>
  <si>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</si>
  <si>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</si>
  <si>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</si>
  <si>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</si>
  <si>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</si>
  <si>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</si>
  <si>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</si>
  <si>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</si>
  <si>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</si>
  <si>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</si>
  <si>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</si>
  <si>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</si>
  <si>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</si>
  <si>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</si>
  <si>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</si>
  <si>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</si>
  <si>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</si>
  <si>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</si>
  <si>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</si>
  <si>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</si>
  <si>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</si>
  <si>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</si>
  <si>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</si>
  <si>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</si>
  <si>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</si>
  <si>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</si>
  <si>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</si>
  <si>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</si>
  <si>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</si>
  <si>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</si>
  <si>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</si>
  <si>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</si>
  <si>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</si>
  <si>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</si>
  <si>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</si>
  <si>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</si>
  <si>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</si>
  <si>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</si>
  <si>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</si>
  <si>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</si>
  <si>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</si>
  <si>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</si>
  <si>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</si>
  <si>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</si>
  <si>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</si>
  <si>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</si>
  <si>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</si>
  <si>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</si>
  <si>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</si>
  <si>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</si>
  <si>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</si>
  <si>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</si>
  <si>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</si>
  <si>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</si>
  <si>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</si>
  <si>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</si>
  <si>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</si>
  <si>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</si>
  <si>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</si>
  <si>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</si>
  <si>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</si>
  <si>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</si>
  <si>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</si>
  <si>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</si>
  <si>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</si>
  <si>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</si>
  <si>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</si>
  <si>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</si>
  <si>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</si>
  <si>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</si>
  <si>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</si>
  <si>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</si>
  <si>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</si>
  <si>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</si>
  <si>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</si>
  <si>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</si>
  <si>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</si>
  <si>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</si>
  <si>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</si>
  <si>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</si>
  <si>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</si>
  <si>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</si>
  <si>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</si>
  <si>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</si>
  <si>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</si>
  <si>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</si>
  <si>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</si>
  <si>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</si>
  <si>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</si>
  <si>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</si>
  <si>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</si>
  <si>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</si>
  <si>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</si>
  <si>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</si>
  <si>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</si>
  <si>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</si>
  <si>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</si>
  <si>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</si>
  <si>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</si>
  <si>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</si>
  <si>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</si>
  <si>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</si>
  <si>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</si>
  <si>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</si>
  <si>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</si>
  <si>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</si>
  <si>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</si>
  <si>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</si>
  <si>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</si>
  <si>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</si>
  <si>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</si>
  <si>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</si>
  <si>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</si>
  <si>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</si>
  <si>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</si>
  <si>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</si>
  <si>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</si>
  <si>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</si>
  <si>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</si>
  <si>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</si>
  <si>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</si>
  <si>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</si>
  <si>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</si>
  <si>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</si>
  <si>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</si>
  <si>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</si>
  <si>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</si>
  <si>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</si>
  <si>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</si>
  <si>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</si>
  <si>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</si>
  <si>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</si>
  <si>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</si>
  <si>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</si>
  <si>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</si>
  <si>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</si>
  <si>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</si>
  <si>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</si>
  <si>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</si>
  <si>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</si>
  <si>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</si>
  <si>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</si>
  <si>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</si>
  <si>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</si>
  <si>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</si>
  <si>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</si>
  <si>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</si>
  <si>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</si>
  <si>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</si>
  <si>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</si>
  <si>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23096</t>
  </si>
  <si>
    <t>ZEMST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</si>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</sst>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177669.86317688588</c:v>
                </c:pt>
                <c:pt idx="1">
                  <c:v>48438.09954013033</c:v>
                </c:pt>
                <c:pt idx="2">
                  <c:v>1806.855</c:v>
                </c:pt>
                <c:pt idx="3">
                  <c:v>4699.3585947397714</c:v>
                </c:pt>
                <c:pt idx="4">
                  <c:v>4619.7650340869186</c:v>
                </c:pt>
                <c:pt idx="5">
                  <c:v>250848.68211113813</c:v>
                </c:pt>
                <c:pt idx="6">
                  <c:v>2465.7005823108439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46016"/>
      </c:barChart>
      <c:catAx>
        <c:axId val="183807360"/>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177669.86317688588</c:v>
                </c:pt>
                <c:pt idx="1">
                  <c:v>48438.09954013033</c:v>
                </c:pt>
                <c:pt idx="2">
                  <c:v>1806.855</c:v>
                </c:pt>
                <c:pt idx="3">
                  <c:v>4699.3585947397714</c:v>
                </c:pt>
                <c:pt idx="4">
                  <c:v>4619.7650340869186</c:v>
                </c:pt>
                <c:pt idx="5">
                  <c:v>250848.68211113813</c:v>
                </c:pt>
                <c:pt idx="6">
                  <c:v>2465.7005823108439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34514.623307459588</c:v>
                </c:pt>
                <c:pt idx="1">
                  <c:v>9442.255227442738</c:v>
                </c:pt>
                <c:pt idx="2">
                  <c:v>348.40508025065208</c:v>
                </c:pt>
                <c:pt idx="3">
                  <c:v>1048.4011447916178</c:v>
                </c:pt>
                <c:pt idx="4">
                  <c:v>875.22041258076933</c:v>
                </c:pt>
                <c:pt idx="5">
                  <c:v>64244.435380343704</c:v>
                </c:pt>
                <c:pt idx="6">
                  <c:v>638.53609435171791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28096"/>
        <c:axId val="184291328"/>
      </c:barChart>
      <c:catAx>
        <c:axId val="184228096"/>
        <c:scaling>
          <c:orientation val="minMax"/>
        </c:scaling>
        <c:axPos val="b"/>
        <c:numFmt formatCode="General" sourceLinked="0"/>
        <c:tickLblPos val="nextTo"/>
        <c:crossAx val="184291328"/>
        <c:crosses val="autoZero"/>
        <c:auto val="1"/>
        <c:lblAlgn val="ctr"/>
        <c:lblOffset val="100"/>
      </c:catAx>
      <c:valAx>
        <c:axId val="184291328"/>
        <c:scaling>
          <c:orientation val="minMax"/>
        </c:scaling>
        <c:axPos val="l"/>
        <c:majorGridlines/>
        <c:numFmt formatCode="#,##0" sourceLinked="1"/>
        <c:tickLblPos val="nextTo"/>
        <c:crossAx val="184228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34514.623307459588</c:v>
                </c:pt>
                <c:pt idx="1">
                  <c:v>9442.255227442738</c:v>
                </c:pt>
                <c:pt idx="2">
                  <c:v>348.40508025065208</c:v>
                </c:pt>
                <c:pt idx="3">
                  <c:v>1048.4011447916178</c:v>
                </c:pt>
                <c:pt idx="4">
                  <c:v>875.22041258076933</c:v>
                </c:pt>
                <c:pt idx="5">
                  <c:v>64244.435380343704</c:v>
                </c:pt>
                <c:pt idx="6">
                  <c:v>638.53609435171791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23096</v>
      </c>
      <c r="B6" s="415"/>
      <c r="C6" s="416"/>
    </row>
    <row r="7" spans="1:7" s="413" customFormat="1" ht="15.75" customHeight="1">
      <c r="A7" s="417" t="str">
        <f>txtMunicipality</f>
        <v>ZEMST</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21368.117714889999</v>
      </c>
      <c r="D10" s="718">
        <f ca="1">tertiair!C16</f>
        <v>0</v>
      </c>
      <c r="E10" s="718">
        <f ca="1">tertiair!D16</f>
        <v>21076.869644468599</v>
      </c>
      <c r="F10" s="718">
        <f>tertiair!E16</f>
        <v>354.79310842082305</v>
      </c>
      <c r="G10" s="718">
        <f ca="1">tertiair!F16</f>
        <v>4989.9169488637535</v>
      </c>
      <c r="H10" s="718">
        <f>tertiair!G16</f>
        <v>0</v>
      </c>
      <c r="I10" s="718">
        <f>tertiair!H16</f>
        <v>0</v>
      </c>
      <c r="J10" s="718">
        <f>tertiair!I16</f>
        <v>0</v>
      </c>
      <c r="K10" s="718">
        <f>tertiair!J16</f>
        <v>0</v>
      </c>
      <c r="L10" s="718">
        <f>tertiair!K16</f>
        <v>0</v>
      </c>
      <c r="M10" s="718">
        <f ca="1">tertiair!L16</f>
        <v>0</v>
      </c>
      <c r="N10" s="718">
        <f>tertiair!M16</f>
        <v>0</v>
      </c>
      <c r="O10" s="718">
        <f ca="1">tertiair!N16</f>
        <v>2434.6271234871506</v>
      </c>
      <c r="P10" s="718">
        <f>tertiair!O16</f>
        <v>1.5633333333333335</v>
      </c>
      <c r="Q10" s="719">
        <f>tertiair!P16</f>
        <v>19.066666666666666</v>
      </c>
      <c r="R10" s="721">
        <f ca="1">SUM(C10:Q10)</f>
        <v>50244.954540130326</v>
      </c>
      <c r="S10" s="67"/>
    </row>
    <row r="11" spans="1:19" s="474" customFormat="1">
      <c r="A11" s="870" t="s">
        <v>225</v>
      </c>
      <c r="B11" s="875"/>
      <c r="C11" s="718">
        <f>huishoudens!B8</f>
        <v>41809.761106910963</v>
      </c>
      <c r="D11" s="718">
        <f>huishoudens!C8</f>
        <v>0</v>
      </c>
      <c r="E11" s="718">
        <f>huishoudens!D8</f>
        <v>90892.5022016</v>
      </c>
      <c r="F11" s="718">
        <f>huishoudens!E8</f>
        <v>6176.0996950647268</v>
      </c>
      <c r="G11" s="718">
        <f>huishoudens!F8</f>
        <v>25057.813469905199</v>
      </c>
      <c r="H11" s="718">
        <f>huishoudens!G8</f>
        <v>0</v>
      </c>
      <c r="I11" s="718">
        <f>huishoudens!H8</f>
        <v>0</v>
      </c>
      <c r="J11" s="718">
        <f>huishoudens!I8</f>
        <v>0</v>
      </c>
      <c r="K11" s="718">
        <f>huishoudens!J8</f>
        <v>0</v>
      </c>
      <c r="L11" s="718">
        <f>huishoudens!K8</f>
        <v>0</v>
      </c>
      <c r="M11" s="718">
        <f>huishoudens!L8</f>
        <v>0</v>
      </c>
      <c r="N11" s="718">
        <f>huishoudens!M8</f>
        <v>0</v>
      </c>
      <c r="O11" s="718">
        <f>huishoudens!N8</f>
        <v>12406.716703404962</v>
      </c>
      <c r="P11" s="718">
        <f>huishoudens!O8</f>
        <v>373.63666666666671</v>
      </c>
      <c r="Q11" s="719">
        <f>huishoudens!P8</f>
        <v>953.33333333333326</v>
      </c>
      <c r="R11" s="721">
        <f>SUM(C11:Q11)</f>
        <v>177669.86317688588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1831.46471406</v>
      </c>
      <c r="D13" s="718">
        <f>industrie!C18</f>
        <v>0</v>
      </c>
      <c r="E13" s="718">
        <f>industrie!D18</f>
        <v>1421.01942901908</v>
      </c>
      <c r="F13" s="718">
        <f>industrie!E18</f>
        <v>179.70071804171579</v>
      </c>
      <c r="G13" s="718">
        <f>industrie!F18</f>
        <v>717.34091355419002</v>
      </c>
      <c r="H13" s="718">
        <f>industrie!G18</f>
        <v>0</v>
      </c>
      <c r="I13" s="718">
        <f>industrie!H18</f>
        <v>0</v>
      </c>
      <c r="J13" s="718">
        <f>industrie!I18</f>
        <v>0</v>
      </c>
      <c r="K13" s="718">
        <f>industrie!J18</f>
        <v>7.6327013359722136</v>
      </c>
      <c r="L13" s="718">
        <f>industrie!K18</f>
        <v>0</v>
      </c>
      <c r="M13" s="718">
        <f>industrie!L18</f>
        <v>0</v>
      </c>
      <c r="N13" s="718">
        <f>industrie!M18</f>
        <v>0</v>
      </c>
      <c r="O13" s="718">
        <f>industrie!N18</f>
        <v>462.60655807596061</v>
      </c>
      <c r="P13" s="718">
        <f>industrie!O18</f>
        <v>0</v>
      </c>
      <c r="Q13" s="719">
        <f>industrie!P18</f>
        <v>0</v>
      </c>
      <c r="R13" s="721">
        <f>SUM(C13:Q13)</f>
        <v>4619.7650340869186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65009.343535860957</v>
      </c>
      <c r="D15" s="723">
        <f t="shared" ref="D15:Q15" ca="1" si="0">SUM(D9:D14)</f>
        <v>0</v>
      </c>
      <c r="E15" s="723">
        <f t="shared" ca="1" si="0"/>
        <v>113390.39127508768</v>
      </c>
      <c r="F15" s="723">
        <f t="shared" si="0"/>
        <v>6710.5935215272657</v>
      </c>
      <c r="G15" s="723">
        <f t="shared" ca="1" si="0"/>
        <v>30765.071332323143</v>
      </c>
      <c r="H15" s="723">
        <f t="shared" si="0"/>
        <v>0</v>
      </c>
      <c r="I15" s="723">
        <f t="shared" si="0"/>
        <v>0</v>
      </c>
      <c r="J15" s="723">
        <f t="shared" si="0"/>
        <v>0</v>
      </c>
      <c r="K15" s="723">
        <f t="shared" si="0"/>
        <v>7.6327013359722136</v>
      </c>
      <c r="L15" s="723">
        <f t="shared" si="0"/>
        <v>0</v>
      </c>
      <c r="M15" s="723">
        <f t="shared" ca="1" si="0"/>
        <v>0</v>
      </c>
      <c r="N15" s="723">
        <f t="shared" si="0"/>
        <v>0</v>
      </c>
      <c r="O15" s="723">
        <f t="shared" ca="1" si="0"/>
        <v>15303.950384968073</v>
      </c>
      <c r="P15" s="723">
        <f t="shared" si="0"/>
        <v>375.20000000000005</v>
      </c>
      <c r="Q15" s="724">
        <f t="shared" si="0"/>
        <v>972.4</v>
      </c>
      <c r="R15" s="725">
        <f ca="1">SUM(R9:R14)</f>
        <v>232534.58275110312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2391.5209526281569</v>
      </c>
      <c r="I18" s="718">
        <f>transport!H54</f>
        <v>0</v>
      </c>
      <c r="J18" s="718">
        <f>transport!I54</f>
        <v>0</v>
      </c>
      <c r="K18" s="718">
        <f>transport!J54</f>
        <v>0</v>
      </c>
      <c r="L18" s="718">
        <f>transport!K54</f>
        <v>0</v>
      </c>
      <c r="M18" s="718">
        <f>transport!L54</f>
        <v>0</v>
      </c>
      <c r="N18" s="718">
        <f>transport!M54</f>
        <v>74.179629682686809</v>
      </c>
      <c r="O18" s="718">
        <f>transport!N54</f>
        <v>0</v>
      </c>
      <c r="P18" s="718">
        <f>transport!O54</f>
        <v>0</v>
      </c>
      <c r="Q18" s="719">
        <f>transport!P54</f>
        <v>0</v>
      </c>
      <c r="R18" s="721">
        <f>SUM(C18:Q18)</f>
        <v>2465.7005823108439</v>
      </c>
      <c r="S18" s="67"/>
    </row>
    <row r="19" spans="1:19" s="474" customFormat="1" ht="15" thickBot="1">
      <c r="A19" s="870" t="s">
        <v>307</v>
      </c>
      <c r="B19" s="875"/>
      <c r="C19" s="727">
        <f>transport!B14</f>
        <v>61.678246456390774</v>
      </c>
      <c r="D19" s="727">
        <f>transport!C14</f>
        <v>0</v>
      </c>
      <c r="E19" s="727">
        <f>transport!D14</f>
        <v>134.60689891242896</v>
      </c>
      <c r="F19" s="727">
        <f>transport!E14</f>
        <v>604.19524182135899</v>
      </c>
      <c r="G19" s="727">
        <f>transport!F14</f>
        <v>0</v>
      </c>
      <c r="H19" s="727">
        <f>transport!G14</f>
        <v>205219.38973396804</v>
      </c>
      <c r="I19" s="727">
        <f>transport!H14</f>
        <v>37247.479354446557</v>
      </c>
      <c r="J19" s="727">
        <f>transport!I14</f>
        <v>0</v>
      </c>
      <c r="K19" s="727">
        <f>transport!J14</f>
        <v>0</v>
      </c>
      <c r="L19" s="727">
        <f>transport!K14</f>
        <v>0</v>
      </c>
      <c r="M19" s="727">
        <f>transport!L14</f>
        <v>0</v>
      </c>
      <c r="N19" s="727">
        <f>transport!M14</f>
        <v>7581.3326355333484</v>
      </c>
      <c r="O19" s="727">
        <f>transport!N14</f>
        <v>0</v>
      </c>
      <c r="P19" s="727">
        <f>transport!O14</f>
        <v>0</v>
      </c>
      <c r="Q19" s="728">
        <f>transport!P14</f>
        <v>0</v>
      </c>
      <c r="R19" s="729">
        <f>SUM(C19:Q19)</f>
        <v>250848.68211113813</v>
      </c>
      <c r="S19" s="67"/>
    </row>
    <row r="20" spans="1:19" s="474" customFormat="1" ht="15.75" thickBot="1">
      <c r="A20" s="730" t="s">
        <v>230</v>
      </c>
      <c r="B20" s="878"/>
      <c r="C20" s="873">
        <f>SUM(C17:C19)</f>
        <v>61.678246456390774</v>
      </c>
      <c r="D20" s="731">
        <f t="shared" ref="D20:R20" si="1">SUM(D17:D19)</f>
        <v>0</v>
      </c>
      <c r="E20" s="731">
        <f t="shared" si="1"/>
        <v>134.60689891242896</v>
      </c>
      <c r="F20" s="731">
        <f t="shared" si="1"/>
        <v>604.19524182135899</v>
      </c>
      <c r="G20" s="731">
        <f t="shared" si="1"/>
        <v>0</v>
      </c>
      <c r="H20" s="731">
        <f t="shared" si="1"/>
        <v>207610.91068659621</v>
      </c>
      <c r="I20" s="731">
        <f t="shared" si="1"/>
        <v>37247.479354446557</v>
      </c>
      <c r="J20" s="731">
        <f t="shared" si="1"/>
        <v>0</v>
      </c>
      <c r="K20" s="731">
        <f t="shared" si="1"/>
        <v>0</v>
      </c>
      <c r="L20" s="731">
        <f t="shared" si="1"/>
        <v>0</v>
      </c>
      <c r="M20" s="731">
        <f t="shared" si="1"/>
        <v>0</v>
      </c>
      <c r="N20" s="731">
        <f t="shared" si="1"/>
        <v>7655.5122652160353</v>
      </c>
      <c r="O20" s="731">
        <f t="shared" si="1"/>
        <v>0</v>
      </c>
      <c r="P20" s="731">
        <f t="shared" si="1"/>
        <v>0</v>
      </c>
      <c r="Q20" s="732">
        <f t="shared" si="1"/>
        <v>0</v>
      </c>
      <c r="R20" s="733">
        <f t="shared" si="1"/>
        <v>253314.38269344898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395.03988524700003</v>
      </c>
      <c r="D22" s="727">
        <f>+landbouw!C8</f>
        <v>0</v>
      </c>
      <c r="E22" s="727">
        <f>+landbouw!D8</f>
        <v>2793.3149240818798</v>
      </c>
      <c r="F22" s="727">
        <f>+landbouw!E8</f>
        <v>10.18656186272268</v>
      </c>
      <c r="G22" s="727">
        <f>+landbouw!F8</f>
        <v>1443.9460122693899</v>
      </c>
      <c r="H22" s="727">
        <f>+landbouw!G8</f>
        <v>0</v>
      </c>
      <c r="I22" s="727">
        <f>+landbouw!H8</f>
        <v>0</v>
      </c>
      <c r="J22" s="727">
        <f>+landbouw!I8</f>
        <v>0</v>
      </c>
      <c r="K22" s="727">
        <f>+landbouw!J8</f>
        <v>56.87121127877883</v>
      </c>
      <c r="L22" s="727">
        <f>+landbouw!K8</f>
        <v>0</v>
      </c>
      <c r="M22" s="727">
        <f>+landbouw!L8</f>
        <v>0</v>
      </c>
      <c r="N22" s="727">
        <f>+landbouw!M8</f>
        <v>0</v>
      </c>
      <c r="O22" s="727">
        <f>+landbouw!N8</f>
        <v>0</v>
      </c>
      <c r="P22" s="727">
        <f>+landbouw!O8</f>
        <v>0</v>
      </c>
      <c r="Q22" s="728">
        <f>+landbouw!P8</f>
        <v>0</v>
      </c>
      <c r="R22" s="729">
        <f>SUM(C22:Q22)</f>
        <v>4699.3585947397714</v>
      </c>
      <c r="S22" s="67"/>
    </row>
    <row r="23" spans="1:19" s="474" customFormat="1" ht="17.25" thickTop="1" thickBot="1">
      <c r="A23" s="734" t="s">
        <v>116</v>
      </c>
      <c r="B23" s="864"/>
      <c r="C23" s="735">
        <f ca="1">C20+C15+C22</f>
        <v>65466.061667564347</v>
      </c>
      <c r="D23" s="735">
        <f t="shared" ref="D23:Q23" ca="1" si="2">D20+D15+D22</f>
        <v>0</v>
      </c>
      <c r="E23" s="735">
        <f t="shared" ca="1" si="2"/>
        <v>116318.31309808198</v>
      </c>
      <c r="F23" s="735">
        <f t="shared" si="2"/>
        <v>7324.9753252113469</v>
      </c>
      <c r="G23" s="735">
        <f t="shared" ca="1" si="2"/>
        <v>32209.017344592532</v>
      </c>
      <c r="H23" s="735">
        <f t="shared" si="2"/>
        <v>207610.91068659621</v>
      </c>
      <c r="I23" s="735">
        <f t="shared" si="2"/>
        <v>37247.479354446557</v>
      </c>
      <c r="J23" s="735">
        <f t="shared" si="2"/>
        <v>0</v>
      </c>
      <c r="K23" s="735">
        <f t="shared" si="2"/>
        <v>64.503912614751044</v>
      </c>
      <c r="L23" s="735">
        <f t="shared" si="2"/>
        <v>0</v>
      </c>
      <c r="M23" s="735">
        <f t="shared" ca="1" si="2"/>
        <v>0</v>
      </c>
      <c r="N23" s="735">
        <f t="shared" si="2"/>
        <v>7655.5122652160353</v>
      </c>
      <c r="O23" s="735">
        <f t="shared" ca="1" si="2"/>
        <v>15303.950384968073</v>
      </c>
      <c r="P23" s="735">
        <f t="shared" si="2"/>
        <v>375.20000000000005</v>
      </c>
      <c r="Q23" s="736">
        <f t="shared" si="2"/>
        <v>972.4</v>
      </c>
      <c r="R23" s="737">
        <f ca="1">R20+R15+R22</f>
        <v>490548.32403929188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4120.286778552585</v>
      </c>
      <c r="D36" s="718">
        <f ca="1">tertiair!C20</f>
        <v>0</v>
      </c>
      <c r="E36" s="718">
        <f ca="1">tertiair!D20</f>
        <v>4257.5276681826572</v>
      </c>
      <c r="F36" s="718">
        <f>tertiair!E20</f>
        <v>80.538035611526837</v>
      </c>
      <c r="G36" s="718">
        <f ca="1">tertiair!F20</f>
        <v>1332.3078253466222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9790.6603076933934</v>
      </c>
    </row>
    <row r="37" spans="1:18">
      <c r="A37" s="885" t="s">
        <v>225</v>
      </c>
      <c r="B37" s="892"/>
      <c r="C37" s="718">
        <f ca="1">huishoudens!B12</f>
        <v>8061.9270354920045</v>
      </c>
      <c r="D37" s="718">
        <f ca="1">huishoudens!C12</f>
        <v>0</v>
      </c>
      <c r="E37" s="718">
        <f>huishoudens!D12</f>
        <v>18360.285444723202</v>
      </c>
      <c r="F37" s="718">
        <f>huishoudens!E12</f>
        <v>1401.9746307796929</v>
      </c>
      <c r="G37" s="718">
        <f>huishoudens!F12</f>
        <v>6690.4361964646887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34514.623307459588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353.15042473154284</v>
      </c>
      <c r="D39" s="718">
        <f ca="1">industrie!C22</f>
        <v>0</v>
      </c>
      <c r="E39" s="718">
        <f>industrie!D22</f>
        <v>287.0459246618542</v>
      </c>
      <c r="F39" s="718">
        <f>industrie!E22</f>
        <v>40.792062995469486</v>
      </c>
      <c r="G39" s="718">
        <f>industrie!F22</f>
        <v>191.53002391896874</v>
      </c>
      <c r="H39" s="718">
        <f>industrie!G22</f>
        <v>0</v>
      </c>
      <c r="I39" s="718">
        <f>industrie!H22</f>
        <v>0</v>
      </c>
      <c r="J39" s="718">
        <f>industrie!I22</f>
        <v>0</v>
      </c>
      <c r="K39" s="718">
        <f>industrie!J22</f>
        <v>2.7019762729341634</v>
      </c>
      <c r="L39" s="718">
        <f>industrie!K22</f>
        <v>0</v>
      </c>
      <c r="M39" s="718">
        <f>industrie!L22</f>
        <v>0</v>
      </c>
      <c r="N39" s="718">
        <f>industrie!M22</f>
        <v>0</v>
      </c>
      <c r="O39" s="718">
        <f>industrie!N22</f>
        <v>0</v>
      </c>
      <c r="P39" s="718">
        <f>industrie!O22</f>
        <v>0</v>
      </c>
      <c r="Q39" s="828">
        <f>industrie!P22</f>
        <v>0</v>
      </c>
      <c r="R39" s="918">
        <f ca="1">SUM(C39:Q39)</f>
        <v>875.22041258076933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12535.364238776132</v>
      </c>
      <c r="D41" s="763">
        <f t="shared" ref="D41:R41" ca="1" si="4">SUM(D35:D40)</f>
        <v>0</v>
      </c>
      <c r="E41" s="763">
        <f t="shared" ca="1" si="4"/>
        <v>22904.859037567716</v>
      </c>
      <c r="F41" s="763">
        <f t="shared" si="4"/>
        <v>1523.3047293866891</v>
      </c>
      <c r="G41" s="763">
        <f t="shared" ca="1" si="4"/>
        <v>8214.2740457302789</v>
      </c>
      <c r="H41" s="763">
        <f t="shared" si="4"/>
        <v>0</v>
      </c>
      <c r="I41" s="763">
        <f t="shared" si="4"/>
        <v>0</v>
      </c>
      <c r="J41" s="763">
        <f t="shared" si="4"/>
        <v>0</v>
      </c>
      <c r="K41" s="763">
        <f t="shared" si="4"/>
        <v>2.7019762729341634</v>
      </c>
      <c r="L41" s="763">
        <f t="shared" si="4"/>
        <v>0</v>
      </c>
      <c r="M41" s="763">
        <f t="shared" ca="1" si="4"/>
        <v>0</v>
      </c>
      <c r="N41" s="763">
        <f t="shared" si="4"/>
        <v>0</v>
      </c>
      <c r="O41" s="763">
        <f t="shared" ca="1" si="4"/>
        <v>0</v>
      </c>
      <c r="P41" s="763">
        <f t="shared" si="4"/>
        <v>0</v>
      </c>
      <c r="Q41" s="764">
        <f t="shared" si="4"/>
        <v>0</v>
      </c>
      <c r="R41" s="765">
        <f t="shared" ca="1" si="4"/>
        <v>45180.504027733747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638.53609435171791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638.53609435171791</v>
      </c>
    </row>
    <row r="45" spans="1:18" ht="15" thickBot="1">
      <c r="A45" s="888" t="s">
        <v>307</v>
      </c>
      <c r="B45" s="898"/>
      <c r="C45" s="727">
        <f ca="1">transport!B18</f>
        <v>11.893048643282569</v>
      </c>
      <c r="D45" s="727">
        <f>transport!C18</f>
        <v>0</v>
      </c>
      <c r="E45" s="727">
        <f>transport!D18</f>
        <v>27.190593580310651</v>
      </c>
      <c r="F45" s="727">
        <f>transport!E18</f>
        <v>137.15231989344849</v>
      </c>
      <c r="G45" s="727">
        <f>transport!F18</f>
        <v>0</v>
      </c>
      <c r="H45" s="727">
        <f>transport!G18</f>
        <v>54793.577058969473</v>
      </c>
      <c r="I45" s="727">
        <f>transport!H18</f>
        <v>9274.6223592571932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64244.435380343704</v>
      </c>
    </row>
    <row r="46" spans="1:18" ht="15.75" thickBot="1">
      <c r="A46" s="886" t="s">
        <v>230</v>
      </c>
      <c r="B46" s="899"/>
      <c r="C46" s="763">
        <f t="shared" ref="C46:R46" ca="1" si="5">SUM(C43:C45)</f>
        <v>11.893048643282569</v>
      </c>
      <c r="D46" s="763">
        <f t="shared" ca="1" si="5"/>
        <v>0</v>
      </c>
      <c r="E46" s="763">
        <f t="shared" si="5"/>
        <v>27.190593580310651</v>
      </c>
      <c r="F46" s="763">
        <f t="shared" si="5"/>
        <v>137.15231989344849</v>
      </c>
      <c r="G46" s="763">
        <f t="shared" si="5"/>
        <v>0</v>
      </c>
      <c r="H46" s="763">
        <f t="shared" si="5"/>
        <v>55432.113153321188</v>
      </c>
      <c r="I46" s="763">
        <f t="shared" si="5"/>
        <v>9274.6223592571932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64882.97147469542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76.173186515624906</v>
      </c>
      <c r="D48" s="718">
        <f ca="1">+landbouw!C12</f>
        <v>0</v>
      </c>
      <c r="E48" s="718">
        <f>+landbouw!D12</f>
        <v>564.24961466453976</v>
      </c>
      <c r="F48" s="718">
        <f>+landbouw!E12</f>
        <v>2.3123495428380485</v>
      </c>
      <c r="G48" s="718">
        <f>+landbouw!F12</f>
        <v>385.53358527592712</v>
      </c>
      <c r="H48" s="718">
        <f>+landbouw!G12</f>
        <v>0</v>
      </c>
      <c r="I48" s="718">
        <f>+landbouw!H12</f>
        <v>0</v>
      </c>
      <c r="J48" s="718">
        <f>+landbouw!I12</f>
        <v>0</v>
      </c>
      <c r="K48" s="718">
        <f>+landbouw!J12</f>
        <v>20.132408792687706</v>
      </c>
      <c r="L48" s="718">
        <f>+landbouw!K12</f>
        <v>0</v>
      </c>
      <c r="M48" s="718">
        <f>+landbouw!L12</f>
        <v>0</v>
      </c>
      <c r="N48" s="718">
        <f>+landbouw!M12</f>
        <v>0</v>
      </c>
      <c r="O48" s="718">
        <f>+landbouw!N12</f>
        <v>0</v>
      </c>
      <c r="P48" s="718">
        <f>+landbouw!O12</f>
        <v>0</v>
      </c>
      <c r="Q48" s="719">
        <f>+landbouw!P12</f>
        <v>0</v>
      </c>
      <c r="R48" s="761">
        <f ca="1">SUM(C48:Q48)</f>
        <v>1048.4011447916178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12623.430473935039</v>
      </c>
      <c r="D53" s="773">
        <f t="shared" ref="D53:Q53" ca="1" si="6">D41+D46+D48</f>
        <v>0</v>
      </c>
      <c r="E53" s="773">
        <f t="shared" ca="1" si="6"/>
        <v>23496.299245812566</v>
      </c>
      <c r="F53" s="773">
        <f t="shared" si="6"/>
        <v>1662.7693988229757</v>
      </c>
      <c r="G53" s="773">
        <f t="shared" ca="1" si="6"/>
        <v>8599.8076310062061</v>
      </c>
      <c r="H53" s="773">
        <f t="shared" si="6"/>
        <v>55432.113153321188</v>
      </c>
      <c r="I53" s="773">
        <f t="shared" si="6"/>
        <v>9274.6223592571932</v>
      </c>
      <c r="J53" s="773">
        <f t="shared" si="6"/>
        <v>0</v>
      </c>
      <c r="K53" s="773">
        <f t="shared" si="6"/>
        <v>22.83438506562187</v>
      </c>
      <c r="L53" s="773">
        <f t="shared" si="6"/>
        <v>0</v>
      </c>
      <c r="M53" s="773">
        <f t="shared" ca="1" si="6"/>
        <v>0</v>
      </c>
      <c r="N53" s="773">
        <f t="shared" si="6"/>
        <v>0</v>
      </c>
      <c r="O53" s="773">
        <f t="shared" ca="1" si="6"/>
        <v>0</v>
      </c>
      <c r="P53" s="773">
        <f>P41+P46+P48</f>
        <v>0</v>
      </c>
      <c r="Q53" s="774">
        <f t="shared" si="6"/>
        <v>0</v>
      </c>
      <c r="R53" s="775">
        <f ca="1">R41+R46+R48</f>
        <v>111111.87664722078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0.19282403969917458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8346.4667628809111</v>
      </c>
      <c r="C66" s="795">
        <f>'lokale energieproductie'!B6</f>
        <v>8346.4667628809111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8346.4667628809111</v>
      </c>
      <c r="C69" s="803">
        <f>SUM(C64:C68)</f>
        <v>8346.4667628809111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41809.761106910963</v>
      </c>
      <c r="C4" s="478">
        <f>huishoudens!C8</f>
        <v>0</v>
      </c>
      <c r="D4" s="478">
        <f>huishoudens!D8</f>
        <v>90892.5022016</v>
      </c>
      <c r="E4" s="478">
        <f>huishoudens!E8</f>
        <v>6176.0996950647268</v>
      </c>
      <c r="F4" s="478">
        <f>huishoudens!F8</f>
        <v>25057.813469905199</v>
      </c>
      <c r="G4" s="478">
        <f>huishoudens!G8</f>
        <v>0</v>
      </c>
      <c r="H4" s="478">
        <f>huishoudens!H8</f>
        <v>0</v>
      </c>
      <c r="I4" s="478">
        <f>huishoudens!I8</f>
        <v>0</v>
      </c>
      <c r="J4" s="478">
        <f>huishoudens!J8</f>
        <v>0</v>
      </c>
      <c r="K4" s="478">
        <f>huishoudens!K8</f>
        <v>0</v>
      </c>
      <c r="L4" s="478">
        <f>huishoudens!L8</f>
        <v>0</v>
      </c>
      <c r="M4" s="478">
        <f>huishoudens!M8</f>
        <v>0</v>
      </c>
      <c r="N4" s="478">
        <f>huishoudens!N8</f>
        <v>12406.716703404962</v>
      </c>
      <c r="O4" s="478">
        <f>huishoudens!O8</f>
        <v>373.63666666666671</v>
      </c>
      <c r="P4" s="479">
        <f>huishoudens!P8</f>
        <v>953.33333333333326</v>
      </c>
      <c r="Q4" s="480">
        <f>SUM(B4:P4)</f>
        <v>177669.86317688588</v>
      </c>
    </row>
    <row r="5" spans="1:17">
      <c r="A5" s="477" t="s">
        <v>156</v>
      </c>
      <c r="B5" s="478">
        <f ca="1">tertiair!B16</f>
        <v>19561.262714889999</v>
      </c>
      <c r="C5" s="478">
        <f ca="1">tertiair!C16</f>
        <v>0</v>
      </c>
      <c r="D5" s="478">
        <f ca="1">tertiair!D16</f>
        <v>21076.869644468599</v>
      </c>
      <c r="E5" s="478">
        <f>tertiair!E16</f>
        <v>354.79310842082305</v>
      </c>
      <c r="F5" s="478">
        <f ca="1">tertiair!F16</f>
        <v>4989.9169488637535</v>
      </c>
      <c r="G5" s="478">
        <f>tertiair!G16</f>
        <v>0</v>
      </c>
      <c r="H5" s="478">
        <f>tertiair!H16</f>
        <v>0</v>
      </c>
      <c r="I5" s="478">
        <f>tertiair!I16</f>
        <v>0</v>
      </c>
      <c r="J5" s="478">
        <f>tertiair!J16</f>
        <v>0</v>
      </c>
      <c r="K5" s="478">
        <f>tertiair!K16</f>
        <v>0</v>
      </c>
      <c r="L5" s="478">
        <f ca="1">tertiair!L16</f>
        <v>0</v>
      </c>
      <c r="M5" s="478">
        <f>tertiair!M16</f>
        <v>0</v>
      </c>
      <c r="N5" s="478">
        <f ca="1">tertiair!N16</f>
        <v>2434.6271234871506</v>
      </c>
      <c r="O5" s="478">
        <f>tertiair!O16</f>
        <v>1.5633333333333335</v>
      </c>
      <c r="P5" s="479">
        <f>tertiair!P16</f>
        <v>19.066666666666666</v>
      </c>
      <c r="Q5" s="477">
        <f t="shared" ref="Q5:Q13" ca="1" si="0">SUM(B5:P5)</f>
        <v>48438.09954013033</v>
      </c>
    </row>
    <row r="6" spans="1:17">
      <c r="A6" s="477" t="s">
        <v>194</v>
      </c>
      <c r="B6" s="478">
        <f>'openbare verlichting'!B8</f>
        <v>1806.855</v>
      </c>
      <c r="C6" s="478"/>
      <c r="D6" s="478"/>
      <c r="E6" s="478"/>
      <c r="F6" s="478"/>
      <c r="G6" s="478"/>
      <c r="H6" s="478"/>
      <c r="I6" s="478"/>
      <c r="J6" s="478"/>
      <c r="K6" s="478"/>
      <c r="L6" s="478"/>
      <c r="M6" s="478"/>
      <c r="N6" s="478"/>
      <c r="O6" s="478"/>
      <c r="P6" s="479"/>
      <c r="Q6" s="477">
        <f t="shared" si="0"/>
        <v>1806.855</v>
      </c>
    </row>
    <row r="7" spans="1:17">
      <c r="A7" s="477" t="s">
        <v>112</v>
      </c>
      <c r="B7" s="478">
        <f>landbouw!B8</f>
        <v>395.03988524700003</v>
      </c>
      <c r="C7" s="478">
        <f>landbouw!C8</f>
        <v>0</v>
      </c>
      <c r="D7" s="478">
        <f>landbouw!D8</f>
        <v>2793.3149240818798</v>
      </c>
      <c r="E7" s="478">
        <f>landbouw!E8</f>
        <v>10.18656186272268</v>
      </c>
      <c r="F7" s="478">
        <f>landbouw!F8</f>
        <v>1443.9460122693899</v>
      </c>
      <c r="G7" s="478">
        <f>landbouw!G8</f>
        <v>0</v>
      </c>
      <c r="H7" s="478">
        <f>landbouw!H8</f>
        <v>0</v>
      </c>
      <c r="I7" s="478">
        <f>landbouw!I8</f>
        <v>0</v>
      </c>
      <c r="J7" s="478">
        <f>landbouw!J8</f>
        <v>56.87121127877883</v>
      </c>
      <c r="K7" s="478">
        <f>landbouw!K8</f>
        <v>0</v>
      </c>
      <c r="L7" s="478">
        <f>landbouw!L8</f>
        <v>0</v>
      </c>
      <c r="M7" s="478">
        <f>landbouw!M8</f>
        <v>0</v>
      </c>
      <c r="N7" s="478">
        <f>landbouw!N8</f>
        <v>0</v>
      </c>
      <c r="O7" s="478">
        <f>landbouw!O8</f>
        <v>0</v>
      </c>
      <c r="P7" s="479">
        <f>landbouw!P8</f>
        <v>0</v>
      </c>
      <c r="Q7" s="477">
        <f t="shared" si="0"/>
        <v>4699.3585947397714</v>
      </c>
    </row>
    <row r="8" spans="1:17">
      <c r="A8" s="477" t="s">
        <v>638</v>
      </c>
      <c r="B8" s="478">
        <f>industrie!B18</f>
        <v>1831.46471406</v>
      </c>
      <c r="C8" s="478">
        <f>industrie!C18</f>
        <v>0</v>
      </c>
      <c r="D8" s="478">
        <f>industrie!D18</f>
        <v>1421.01942901908</v>
      </c>
      <c r="E8" s="478">
        <f>industrie!E18</f>
        <v>179.70071804171579</v>
      </c>
      <c r="F8" s="478">
        <f>industrie!F18</f>
        <v>717.34091355419002</v>
      </c>
      <c r="G8" s="478">
        <f>industrie!G18</f>
        <v>0</v>
      </c>
      <c r="H8" s="478">
        <f>industrie!H18</f>
        <v>0</v>
      </c>
      <c r="I8" s="478">
        <f>industrie!I18</f>
        <v>0</v>
      </c>
      <c r="J8" s="478">
        <f>industrie!J18</f>
        <v>7.6327013359722136</v>
      </c>
      <c r="K8" s="478">
        <f>industrie!K18</f>
        <v>0</v>
      </c>
      <c r="L8" s="478">
        <f>industrie!L18</f>
        <v>0</v>
      </c>
      <c r="M8" s="478">
        <f>industrie!M18</f>
        <v>0</v>
      </c>
      <c r="N8" s="478">
        <f>industrie!N18</f>
        <v>462.60655807596061</v>
      </c>
      <c r="O8" s="478">
        <f>industrie!O18</f>
        <v>0</v>
      </c>
      <c r="P8" s="479">
        <f>industrie!P18</f>
        <v>0</v>
      </c>
      <c r="Q8" s="477">
        <f t="shared" si="0"/>
        <v>4619.7650340869186</v>
      </c>
    </row>
    <row r="9" spans="1:17" s="483" customFormat="1">
      <c r="A9" s="481" t="s">
        <v>564</v>
      </c>
      <c r="B9" s="482">
        <f>transport!B14</f>
        <v>61.678246456390774</v>
      </c>
      <c r="C9" s="482"/>
      <c r="D9" s="482">
        <f>transport!D14</f>
        <v>134.60689891242896</v>
      </c>
      <c r="E9" s="482">
        <f>transport!E14</f>
        <v>604.19524182135899</v>
      </c>
      <c r="F9" s="482"/>
      <c r="G9" s="482">
        <f>transport!G14</f>
        <v>205219.38973396804</v>
      </c>
      <c r="H9" s="482">
        <f>transport!H14</f>
        <v>37247.479354446557</v>
      </c>
      <c r="I9" s="482"/>
      <c r="J9" s="482"/>
      <c r="K9" s="482"/>
      <c r="L9" s="482"/>
      <c r="M9" s="482">
        <f>transport!M14</f>
        <v>7581.3326355333484</v>
      </c>
      <c r="N9" s="482"/>
      <c r="O9" s="482"/>
      <c r="P9" s="482"/>
      <c r="Q9" s="481">
        <f>SUM(B9:P9)</f>
        <v>250848.68211113813</v>
      </c>
    </row>
    <row r="10" spans="1:17">
      <c r="A10" s="477" t="s">
        <v>554</v>
      </c>
      <c r="B10" s="478">
        <f>transport!B54</f>
        <v>0</v>
      </c>
      <c r="C10" s="478"/>
      <c r="D10" s="478">
        <f>transport!D54</f>
        <v>0</v>
      </c>
      <c r="E10" s="478"/>
      <c r="F10" s="478"/>
      <c r="G10" s="478">
        <f>transport!G54</f>
        <v>2391.5209526281569</v>
      </c>
      <c r="H10" s="478"/>
      <c r="I10" s="478"/>
      <c r="J10" s="478"/>
      <c r="K10" s="478"/>
      <c r="L10" s="478"/>
      <c r="M10" s="478">
        <f>transport!M54</f>
        <v>74.179629682686809</v>
      </c>
      <c r="N10" s="478"/>
      <c r="O10" s="478"/>
      <c r="P10" s="479"/>
      <c r="Q10" s="477">
        <f t="shared" si="0"/>
        <v>2465.7005823108439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65466.061667564354</v>
      </c>
      <c r="C14" s="488">
        <f t="shared" ref="C14:Q14" ca="1" si="1">SUM(C4:C13)</f>
        <v>0</v>
      </c>
      <c r="D14" s="488">
        <f t="shared" ca="1" si="1"/>
        <v>116318.31309808198</v>
      </c>
      <c r="E14" s="488">
        <f t="shared" si="1"/>
        <v>7324.9753252113469</v>
      </c>
      <c r="F14" s="488">
        <f t="shared" ca="1" si="1"/>
        <v>32209.017344592532</v>
      </c>
      <c r="G14" s="488">
        <f t="shared" si="1"/>
        <v>207610.91068659621</v>
      </c>
      <c r="H14" s="488">
        <f t="shared" si="1"/>
        <v>37247.479354446557</v>
      </c>
      <c r="I14" s="488">
        <f t="shared" si="1"/>
        <v>0</v>
      </c>
      <c r="J14" s="488">
        <f t="shared" si="1"/>
        <v>64.503912614751044</v>
      </c>
      <c r="K14" s="488">
        <f t="shared" si="1"/>
        <v>0</v>
      </c>
      <c r="L14" s="488">
        <f t="shared" ca="1" si="1"/>
        <v>0</v>
      </c>
      <c r="M14" s="488">
        <f t="shared" si="1"/>
        <v>7655.5122652160353</v>
      </c>
      <c r="N14" s="488">
        <f t="shared" ca="1" si="1"/>
        <v>15303.950384968073</v>
      </c>
      <c r="O14" s="488">
        <f t="shared" si="1"/>
        <v>375.20000000000005</v>
      </c>
      <c r="P14" s="489">
        <f t="shared" si="1"/>
        <v>972.4</v>
      </c>
      <c r="Q14" s="489">
        <f t="shared" ca="1" si="1"/>
        <v>490548.32403929188</v>
      </c>
    </row>
    <row r="16" spans="1:17">
      <c r="A16" s="491" t="s">
        <v>559</v>
      </c>
      <c r="B16" s="841">
        <f ca="1">huishoudens!B10</f>
        <v>0.19282403969917458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8061.9270354920045</v>
      </c>
      <c r="C21" s="478">
        <f t="shared" ref="C21:C28" ca="1" si="3">C4*$C$16</f>
        <v>0</v>
      </c>
      <c r="D21" s="478">
        <f t="shared" ref="D21:D30" si="4">D4*$D$16</f>
        <v>18360.285444723202</v>
      </c>
      <c r="E21" s="478">
        <f t="shared" ref="E21:E30" si="5">E4*$E$16</f>
        <v>1401.9746307796929</v>
      </c>
      <c r="F21" s="478">
        <f t="shared" ref="F21:F28" si="6">F4*$F$16</f>
        <v>6690.4361964646887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34514.623307459588</v>
      </c>
    </row>
    <row r="22" spans="1:17">
      <c r="A22" s="477" t="s">
        <v>156</v>
      </c>
      <c r="B22" s="478">
        <f t="shared" ca="1" si="2"/>
        <v>3771.8816983019328</v>
      </c>
      <c r="C22" s="478">
        <f t="shared" ca="1" si="3"/>
        <v>0</v>
      </c>
      <c r="D22" s="478">
        <f t="shared" ca="1" si="4"/>
        <v>4257.5276681826572</v>
      </c>
      <c r="E22" s="478">
        <f t="shared" si="5"/>
        <v>80.538035611526837</v>
      </c>
      <c r="F22" s="478">
        <f t="shared" ca="1" si="6"/>
        <v>1332.3078253466222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9442.255227442738</v>
      </c>
    </row>
    <row r="23" spans="1:17">
      <c r="A23" s="477" t="s">
        <v>194</v>
      </c>
      <c r="B23" s="478">
        <f t="shared" ca="1" si="2"/>
        <v>348.40508025065208</v>
      </c>
      <c r="C23" s="478"/>
      <c r="D23" s="478"/>
      <c r="E23" s="478"/>
      <c r="F23" s="478"/>
      <c r="G23" s="478"/>
      <c r="H23" s="478"/>
      <c r="I23" s="478"/>
      <c r="J23" s="478"/>
      <c r="K23" s="478"/>
      <c r="L23" s="478"/>
      <c r="M23" s="478"/>
      <c r="N23" s="478"/>
      <c r="O23" s="478"/>
      <c r="P23" s="479"/>
      <c r="Q23" s="477">
        <f t="shared" ca="1" si="17"/>
        <v>348.40508025065208</v>
      </c>
    </row>
    <row r="24" spans="1:17">
      <c r="A24" s="477" t="s">
        <v>112</v>
      </c>
      <c r="B24" s="478">
        <f t="shared" ca="1" si="2"/>
        <v>76.173186515624906</v>
      </c>
      <c r="C24" s="478">
        <f t="shared" ca="1" si="3"/>
        <v>0</v>
      </c>
      <c r="D24" s="478">
        <f t="shared" si="4"/>
        <v>564.24961466453976</v>
      </c>
      <c r="E24" s="478">
        <f t="shared" si="5"/>
        <v>2.3123495428380485</v>
      </c>
      <c r="F24" s="478">
        <f t="shared" si="6"/>
        <v>385.53358527592712</v>
      </c>
      <c r="G24" s="478">
        <f t="shared" si="7"/>
        <v>0</v>
      </c>
      <c r="H24" s="478">
        <f t="shared" si="8"/>
        <v>0</v>
      </c>
      <c r="I24" s="478">
        <f t="shared" si="9"/>
        <v>0</v>
      </c>
      <c r="J24" s="478">
        <f t="shared" si="10"/>
        <v>20.132408792687706</v>
      </c>
      <c r="K24" s="478">
        <f t="shared" si="11"/>
        <v>0</v>
      </c>
      <c r="L24" s="478">
        <f t="shared" si="12"/>
        <v>0</v>
      </c>
      <c r="M24" s="478">
        <f t="shared" si="13"/>
        <v>0</v>
      </c>
      <c r="N24" s="478">
        <f t="shared" si="14"/>
        <v>0</v>
      </c>
      <c r="O24" s="478">
        <f t="shared" si="15"/>
        <v>0</v>
      </c>
      <c r="P24" s="479">
        <f t="shared" si="16"/>
        <v>0</v>
      </c>
      <c r="Q24" s="477">
        <f t="shared" ca="1" si="17"/>
        <v>1048.4011447916178</v>
      </c>
    </row>
    <row r="25" spans="1:17">
      <c r="A25" s="477" t="s">
        <v>638</v>
      </c>
      <c r="B25" s="478">
        <f t="shared" ca="1" si="2"/>
        <v>353.15042473154284</v>
      </c>
      <c r="C25" s="478">
        <f t="shared" ca="1" si="3"/>
        <v>0</v>
      </c>
      <c r="D25" s="478">
        <f t="shared" si="4"/>
        <v>287.0459246618542</v>
      </c>
      <c r="E25" s="478">
        <f t="shared" si="5"/>
        <v>40.792062995469486</v>
      </c>
      <c r="F25" s="478">
        <f t="shared" si="6"/>
        <v>191.53002391896874</v>
      </c>
      <c r="G25" s="478">
        <f t="shared" si="7"/>
        <v>0</v>
      </c>
      <c r="H25" s="478">
        <f t="shared" si="8"/>
        <v>0</v>
      </c>
      <c r="I25" s="478">
        <f t="shared" si="9"/>
        <v>0</v>
      </c>
      <c r="J25" s="478">
        <f t="shared" si="10"/>
        <v>2.7019762729341634</v>
      </c>
      <c r="K25" s="478">
        <f t="shared" si="11"/>
        <v>0</v>
      </c>
      <c r="L25" s="478">
        <f t="shared" si="12"/>
        <v>0</v>
      </c>
      <c r="M25" s="478">
        <f t="shared" si="13"/>
        <v>0</v>
      </c>
      <c r="N25" s="478">
        <f t="shared" si="14"/>
        <v>0</v>
      </c>
      <c r="O25" s="478">
        <f t="shared" si="15"/>
        <v>0</v>
      </c>
      <c r="P25" s="479">
        <f t="shared" si="16"/>
        <v>0</v>
      </c>
      <c r="Q25" s="477">
        <f t="shared" ca="1" si="17"/>
        <v>875.22041258076933</v>
      </c>
    </row>
    <row r="26" spans="1:17" s="483" customFormat="1">
      <c r="A26" s="481" t="s">
        <v>564</v>
      </c>
      <c r="B26" s="835">
        <f t="shared" ca="1" si="2"/>
        <v>11.893048643282569</v>
      </c>
      <c r="C26" s="482"/>
      <c r="D26" s="482">
        <f t="shared" si="4"/>
        <v>27.190593580310651</v>
      </c>
      <c r="E26" s="482">
        <f t="shared" si="5"/>
        <v>137.15231989344849</v>
      </c>
      <c r="F26" s="482"/>
      <c r="G26" s="482">
        <f t="shared" si="7"/>
        <v>54793.577058969473</v>
      </c>
      <c r="H26" s="482">
        <f t="shared" si="8"/>
        <v>9274.6223592571932</v>
      </c>
      <c r="I26" s="482"/>
      <c r="J26" s="482"/>
      <c r="K26" s="482"/>
      <c r="L26" s="482"/>
      <c r="M26" s="482">
        <f t="shared" si="13"/>
        <v>0</v>
      </c>
      <c r="N26" s="482"/>
      <c r="O26" s="482"/>
      <c r="P26" s="493"/>
      <c r="Q26" s="481">
        <f t="shared" ca="1" si="17"/>
        <v>64244.435380343704</v>
      </c>
    </row>
    <row r="27" spans="1:17">
      <c r="A27" s="477" t="s">
        <v>554</v>
      </c>
      <c r="B27" s="478">
        <f t="shared" ca="1" si="2"/>
        <v>0</v>
      </c>
      <c r="C27" s="478"/>
      <c r="D27" s="482">
        <f t="shared" si="4"/>
        <v>0</v>
      </c>
      <c r="E27" s="478"/>
      <c r="F27" s="478"/>
      <c r="G27" s="478">
        <f t="shared" si="7"/>
        <v>638.53609435171791</v>
      </c>
      <c r="H27" s="478"/>
      <c r="I27" s="478"/>
      <c r="J27" s="478"/>
      <c r="K27" s="478"/>
      <c r="L27" s="478"/>
      <c r="M27" s="478">
        <f t="shared" si="13"/>
        <v>0</v>
      </c>
      <c r="N27" s="478"/>
      <c r="O27" s="478"/>
      <c r="P27" s="479"/>
      <c r="Q27" s="477">
        <f t="shared" ca="1" si="17"/>
        <v>638.53609435171791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12623.430473935039</v>
      </c>
      <c r="C31" s="488">
        <f t="shared" ca="1" si="18"/>
        <v>0</v>
      </c>
      <c r="D31" s="488">
        <f t="shared" ca="1" si="18"/>
        <v>23496.299245812566</v>
      </c>
      <c r="E31" s="488">
        <f t="shared" si="18"/>
        <v>1662.7693988229757</v>
      </c>
      <c r="F31" s="488">
        <f t="shared" ca="1" si="18"/>
        <v>8599.8076310062061</v>
      </c>
      <c r="G31" s="488">
        <f t="shared" si="18"/>
        <v>55432.113153321188</v>
      </c>
      <c r="H31" s="488">
        <f t="shared" si="18"/>
        <v>9274.6223592571932</v>
      </c>
      <c r="I31" s="488">
        <f t="shared" si="18"/>
        <v>0</v>
      </c>
      <c r="J31" s="488">
        <f t="shared" si="18"/>
        <v>22.83438506562187</v>
      </c>
      <c r="K31" s="488">
        <f t="shared" si="18"/>
        <v>0</v>
      </c>
      <c r="L31" s="488">
        <f t="shared" ca="1" si="18"/>
        <v>0</v>
      </c>
      <c r="M31" s="488">
        <f t="shared" si="18"/>
        <v>0</v>
      </c>
      <c r="N31" s="488">
        <f t="shared" ca="1" si="18"/>
        <v>0</v>
      </c>
      <c r="O31" s="488">
        <f t="shared" si="18"/>
        <v>0</v>
      </c>
      <c r="P31" s="489">
        <f t="shared" si="18"/>
        <v>0</v>
      </c>
      <c r="Q31" s="489">
        <f t="shared" ca="1" si="18"/>
        <v>111111.87664722079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0.19282403969917458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0.19282403969917458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0.19282403969917458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8958</v>
      </c>
      <c r="C9" s="342">
        <v>9417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1756.46</v>
      </c>
    </row>
    <row r="15" spans="1:6">
      <c r="A15" s="348" t="s">
        <v>184</v>
      </c>
      <c r="B15" s="334">
        <v>4</v>
      </c>
    </row>
    <row r="16" spans="1:6">
      <c r="A16" s="348" t="s">
        <v>6</v>
      </c>
      <c r="B16" s="334">
        <v>213</v>
      </c>
    </row>
    <row r="17" spans="1:6">
      <c r="A17" s="348" t="s">
        <v>7</v>
      </c>
      <c r="B17" s="334">
        <v>301</v>
      </c>
    </row>
    <row r="18" spans="1:6">
      <c r="A18" s="348" t="s">
        <v>8</v>
      </c>
      <c r="B18" s="334">
        <v>406</v>
      </c>
    </row>
    <row r="19" spans="1:6">
      <c r="A19" s="348" t="s">
        <v>9</v>
      </c>
      <c r="B19" s="334">
        <v>424</v>
      </c>
    </row>
    <row r="20" spans="1:6">
      <c r="A20" s="348" t="s">
        <v>10</v>
      </c>
      <c r="B20" s="334">
        <v>403</v>
      </c>
    </row>
    <row r="21" spans="1:6">
      <c r="A21" s="348" t="s">
        <v>11</v>
      </c>
      <c r="B21" s="334">
        <v>0</v>
      </c>
    </row>
    <row r="22" spans="1:6">
      <c r="A22" s="348" t="s">
        <v>12</v>
      </c>
      <c r="B22" s="334">
        <v>167</v>
      </c>
    </row>
    <row r="23" spans="1:6">
      <c r="A23" s="348" t="s">
        <v>13</v>
      </c>
      <c r="B23" s="334">
        <v>1</v>
      </c>
    </row>
    <row r="24" spans="1:6">
      <c r="A24" s="348" t="s">
        <v>14</v>
      </c>
      <c r="B24" s="334">
        <v>0</v>
      </c>
    </row>
    <row r="25" spans="1:6">
      <c r="A25" s="348" t="s">
        <v>15</v>
      </c>
      <c r="B25" s="334">
        <v>0</v>
      </c>
    </row>
    <row r="26" spans="1:6">
      <c r="A26" s="348" t="s">
        <v>16</v>
      </c>
      <c r="B26" s="334">
        <v>119</v>
      </c>
    </row>
    <row r="27" spans="1:6">
      <c r="A27" s="348" t="s">
        <v>17</v>
      </c>
      <c r="B27" s="334">
        <v>0</v>
      </c>
    </row>
    <row r="28" spans="1:6" s="356" customFormat="1">
      <c r="A28" s="355" t="s">
        <v>18</v>
      </c>
      <c r="B28" s="355">
        <v>0</v>
      </c>
    </row>
    <row r="29" spans="1:6">
      <c r="A29" s="355" t="s">
        <v>849</v>
      </c>
      <c r="B29" s="355">
        <v>249</v>
      </c>
      <c r="C29" s="356"/>
      <c r="D29" s="356"/>
      <c r="E29" s="356"/>
      <c r="F29" s="356"/>
    </row>
    <row r="30" spans="1:6">
      <c r="A30" s="355" t="s">
        <v>850</v>
      </c>
      <c r="B30" s="341">
        <v>28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17798.231033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463817.60778000002</v>
      </c>
      <c r="E38" s="334">
        <v>1</v>
      </c>
      <c r="F38" s="334">
        <v>5589</v>
      </c>
    </row>
    <row r="39" spans="1:6">
      <c r="A39" s="348" t="s">
        <v>30</v>
      </c>
      <c r="B39" s="348" t="s">
        <v>31</v>
      </c>
      <c r="C39" s="334">
        <v>5794</v>
      </c>
      <c r="D39" s="334">
        <v>100767740.8</v>
      </c>
      <c r="E39" s="334">
        <v>8900</v>
      </c>
      <c r="F39" s="334">
        <v>37636194.986000001</v>
      </c>
    </row>
    <row r="40" spans="1:6">
      <c r="A40" s="348" t="s">
        <v>30</v>
      </c>
      <c r="B40" s="348" t="s">
        <v>29</v>
      </c>
      <c r="C40" s="334">
        <v>0</v>
      </c>
      <c r="D40" s="334">
        <v>0</v>
      </c>
      <c r="E40" s="334">
        <v>0</v>
      </c>
      <c r="F40" s="334">
        <v>0</v>
      </c>
    </row>
    <row r="41" spans="1:6">
      <c r="A41" s="348" t="s">
        <v>32</v>
      </c>
      <c r="B41" s="348" t="s">
        <v>33</v>
      </c>
      <c r="C41" s="334">
        <v>30</v>
      </c>
      <c r="D41" s="334">
        <v>523568.41859999998</v>
      </c>
      <c r="E41" s="334">
        <v>75</v>
      </c>
      <c r="F41" s="334">
        <v>456699.09133999998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99400.796189999994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826877.98858999996</v>
      </c>
      <c r="E48" s="334">
        <v>52</v>
      </c>
      <c r="F48" s="334">
        <v>941481.74994000001</v>
      </c>
    </row>
    <row r="49" spans="1:6">
      <c r="A49" s="348" t="s">
        <v>32</v>
      </c>
      <c r="B49" s="348" t="s">
        <v>40</v>
      </c>
      <c r="C49" s="334">
        <v>0</v>
      </c>
      <c r="D49" s="334">
        <v>0</v>
      </c>
      <c r="E49" s="334">
        <v>0</v>
      </c>
      <c r="F49" s="334">
        <v>0</v>
      </c>
    </row>
    <row r="50" spans="1:6">
      <c r="A50" s="348" t="s">
        <v>32</v>
      </c>
      <c r="B50" s="348" t="s">
        <v>41</v>
      </c>
      <c r="C50" s="334">
        <v>3</v>
      </c>
      <c r="D50" s="334">
        <v>224963.15935</v>
      </c>
      <c r="E50" s="334">
        <v>6</v>
      </c>
      <c r="F50" s="334">
        <v>333883.07659000001</v>
      </c>
    </row>
    <row r="51" spans="1:6">
      <c r="A51" s="348" t="s">
        <v>42</v>
      </c>
      <c r="B51" s="348" t="s">
        <v>43</v>
      </c>
      <c r="C51" s="334">
        <v>0</v>
      </c>
      <c r="D51" s="334">
        <v>0</v>
      </c>
      <c r="E51" s="334">
        <v>38</v>
      </c>
      <c r="F51" s="334">
        <v>321768.11478</v>
      </c>
    </row>
    <row r="52" spans="1:6">
      <c r="A52" s="348" t="s">
        <v>42</v>
      </c>
      <c r="B52" s="348" t="s">
        <v>29</v>
      </c>
      <c r="C52" s="334">
        <v>6</v>
      </c>
      <c r="D52" s="334">
        <v>284114.08863999997</v>
      </c>
      <c r="E52" s="334">
        <v>8</v>
      </c>
      <c r="F52" s="334">
        <v>73271.770466999995</v>
      </c>
    </row>
    <row r="53" spans="1:6">
      <c r="A53" s="348" t="s">
        <v>44</v>
      </c>
      <c r="B53" s="348" t="s">
        <v>45</v>
      </c>
      <c r="C53" s="334">
        <v>113</v>
      </c>
      <c r="D53" s="334">
        <v>2812687.3793000001</v>
      </c>
      <c r="E53" s="334">
        <v>185</v>
      </c>
      <c r="F53" s="334">
        <v>722063.86768000002</v>
      </c>
    </row>
    <row r="54" spans="1:6">
      <c r="A54" s="348" t="s">
        <v>46</v>
      </c>
      <c r="B54" s="348" t="s">
        <v>47</v>
      </c>
      <c r="C54" s="334">
        <v>0</v>
      </c>
      <c r="D54" s="334">
        <v>0</v>
      </c>
      <c r="E54" s="334">
        <v>1</v>
      </c>
      <c r="F54" s="334">
        <v>1806855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1992138.1514000001</v>
      </c>
      <c r="E57" s="334">
        <v>85</v>
      </c>
      <c r="F57" s="334">
        <v>1992431.9072</v>
      </c>
    </row>
    <row r="58" spans="1:6">
      <c r="A58" s="348" t="s">
        <v>49</v>
      </c>
      <c r="B58" s="348" t="s">
        <v>51</v>
      </c>
      <c r="C58" s="334">
        <v>7</v>
      </c>
      <c r="D58" s="334">
        <v>178236.14311999999</v>
      </c>
      <c r="E58" s="334">
        <v>23</v>
      </c>
      <c r="F58" s="334">
        <v>193749.75399</v>
      </c>
    </row>
    <row r="59" spans="1:6">
      <c r="A59" s="348" t="s">
        <v>49</v>
      </c>
      <c r="B59" s="348" t="s">
        <v>52</v>
      </c>
      <c r="C59" s="334">
        <v>36</v>
      </c>
      <c r="D59" s="334">
        <v>1595213.8097000001</v>
      </c>
      <c r="E59" s="334">
        <v>95</v>
      </c>
      <c r="F59" s="334">
        <v>2953906.0433</v>
      </c>
    </row>
    <row r="60" spans="1:6">
      <c r="A60" s="348" t="s">
        <v>49</v>
      </c>
      <c r="B60" s="348" t="s">
        <v>53</v>
      </c>
      <c r="C60" s="334">
        <v>52</v>
      </c>
      <c r="D60" s="334">
        <v>2138594.1601</v>
      </c>
      <c r="E60" s="334">
        <v>72</v>
      </c>
      <c r="F60" s="334">
        <v>1300118.2154999999</v>
      </c>
    </row>
    <row r="61" spans="1:6">
      <c r="A61" s="348" t="s">
        <v>49</v>
      </c>
      <c r="B61" s="348" t="s">
        <v>54</v>
      </c>
      <c r="C61" s="334">
        <v>75</v>
      </c>
      <c r="D61" s="334">
        <v>5913490.8908000002</v>
      </c>
      <c r="E61" s="334">
        <v>225</v>
      </c>
      <c r="F61" s="334">
        <v>3432717.0170999998</v>
      </c>
    </row>
    <row r="62" spans="1:6">
      <c r="A62" s="348" t="s">
        <v>49</v>
      </c>
      <c r="B62" s="348" t="s">
        <v>55</v>
      </c>
      <c r="C62" s="334">
        <v>0</v>
      </c>
      <c r="D62" s="334">
        <v>0</v>
      </c>
      <c r="E62" s="334">
        <v>0</v>
      </c>
      <c r="F62" s="334">
        <v>0</v>
      </c>
    </row>
    <row r="63" spans="1:6">
      <c r="A63" s="348" t="s">
        <v>49</v>
      </c>
      <c r="B63" s="348" t="s">
        <v>29</v>
      </c>
      <c r="C63" s="334">
        <v>188</v>
      </c>
      <c r="D63" s="334">
        <v>11549144.6325392</v>
      </c>
      <c r="E63" s="334">
        <v>237</v>
      </c>
      <c r="F63" s="334">
        <v>9688339.7777999993</v>
      </c>
    </row>
    <row r="64" spans="1:6">
      <c r="A64" s="348" t="s">
        <v>56</v>
      </c>
      <c r="B64" s="348" t="s">
        <v>57</v>
      </c>
      <c r="C64" s="334">
        <v>0</v>
      </c>
      <c r="D64" s="334">
        <v>0</v>
      </c>
      <c r="E64" s="334">
        <v>0</v>
      </c>
      <c r="F64" s="334">
        <v>0</v>
      </c>
    </row>
    <row r="65" spans="1:6">
      <c r="A65" s="348" t="s">
        <v>56</v>
      </c>
      <c r="B65" s="348" t="s">
        <v>29</v>
      </c>
      <c r="C65" s="334">
        <v>3</v>
      </c>
      <c r="D65" s="334">
        <v>180035.08883299999</v>
      </c>
      <c r="E65" s="334">
        <v>2</v>
      </c>
      <c r="F65" s="334">
        <v>51357.089252999998</v>
      </c>
    </row>
    <row r="66" spans="1:6">
      <c r="A66" s="348" t="s">
        <v>56</v>
      </c>
      <c r="B66" s="348" t="s">
        <v>58</v>
      </c>
      <c r="C66" s="334">
        <v>0</v>
      </c>
      <c r="D66" s="334">
        <v>0</v>
      </c>
      <c r="E66" s="334">
        <v>16</v>
      </c>
      <c r="F66" s="334">
        <v>593820</v>
      </c>
    </row>
    <row r="67" spans="1:6">
      <c r="A67" s="355" t="s">
        <v>56</v>
      </c>
      <c r="B67" s="355" t="s">
        <v>59</v>
      </c>
      <c r="C67" s="334">
        <v>0</v>
      </c>
      <c r="D67" s="334">
        <v>0</v>
      </c>
      <c r="E67" s="334">
        <v>0</v>
      </c>
      <c r="F67" s="334">
        <v>0</v>
      </c>
    </row>
    <row r="68" spans="1:6">
      <c r="A68" s="341" t="s">
        <v>56</v>
      </c>
      <c r="B68" s="341" t="s">
        <v>60</v>
      </c>
      <c r="C68" s="334">
        <v>3</v>
      </c>
      <c r="D68" s="334">
        <v>58388.978757999997</v>
      </c>
      <c r="E68" s="334">
        <v>23</v>
      </c>
      <c r="F68" s="334">
        <v>533138.41136999999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70153969</v>
      </c>
      <c r="E73" s="476">
        <v>86673469.377184808</v>
      </c>
    </row>
    <row r="74" spans="1:6">
      <c r="A74" s="348" t="s">
        <v>64</v>
      </c>
      <c r="B74" s="348" t="s">
        <v>667</v>
      </c>
      <c r="C74" s="1271" t="s">
        <v>669</v>
      </c>
      <c r="D74" s="476">
        <v>4888453.2193520702</v>
      </c>
      <c r="E74" s="476">
        <v>5655540.0218653874</v>
      </c>
    </row>
    <row r="75" spans="1:6">
      <c r="A75" s="348" t="s">
        <v>65</v>
      </c>
      <c r="B75" s="348" t="s">
        <v>666</v>
      </c>
      <c r="C75" s="1271" t="s">
        <v>670</v>
      </c>
      <c r="D75" s="476">
        <v>23264192</v>
      </c>
      <c r="E75" s="476">
        <v>29627922.900965042</v>
      </c>
    </row>
    <row r="76" spans="1:6">
      <c r="A76" s="348" t="s">
        <v>65</v>
      </c>
      <c r="B76" s="348" t="s">
        <v>667</v>
      </c>
      <c r="C76" s="1271" t="s">
        <v>671</v>
      </c>
      <c r="D76" s="476">
        <v>1087718.21935207</v>
      </c>
      <c r="E76" s="476">
        <v>1284712.8698444942</v>
      </c>
    </row>
    <row r="77" spans="1:6">
      <c r="A77" s="348" t="s">
        <v>66</v>
      </c>
      <c r="B77" s="348" t="s">
        <v>666</v>
      </c>
      <c r="C77" s="1271" t="s">
        <v>672</v>
      </c>
      <c r="D77" s="476">
        <v>169787005</v>
      </c>
      <c r="E77" s="476">
        <v>177176236.44675717</v>
      </c>
    </row>
    <row r="78" spans="1:6">
      <c r="A78" s="341" t="s">
        <v>66</v>
      </c>
      <c r="B78" s="341" t="s">
        <v>667</v>
      </c>
      <c r="C78" s="341" t="s">
        <v>673</v>
      </c>
      <c r="D78" s="1272">
        <v>22029202</v>
      </c>
      <c r="E78" s="1272">
        <v>22543177.293795493</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662253.56129585998</v>
      </c>
      <c r="C83" s="476">
        <v>662253.56129585998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4173.5661209109576</v>
      </c>
    </row>
    <row r="92" spans="1:6">
      <c r="A92" s="341" t="s">
        <v>69</v>
      </c>
      <c r="B92" s="342">
        <v>4172.9006419699526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75</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1</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65466.061667564347</v>
      </c>
      <c r="C3" s="43" t="s">
        <v>170</v>
      </c>
      <c r="D3" s="43"/>
      <c r="E3" s="154"/>
      <c r="F3" s="43"/>
      <c r="G3" s="43"/>
      <c r="H3" s="43"/>
      <c r="I3" s="43"/>
      <c r="J3" s="43"/>
      <c r="K3" s="96"/>
    </row>
    <row r="4" spans="1:11">
      <c r="A4" s="383" t="s">
        <v>171</v>
      </c>
      <c r="B4" s="49">
        <f>IF(ISERROR('SEAP template'!B69),0,'SEAP template'!B69)</f>
        <v>8346.4667628809111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0.19282403969917458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1806.855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1806.855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0.19282403969917458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348.40508025065208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37636.194986000002</v>
      </c>
      <c r="C5" s="17">
        <f>IF(ISERROR('Eigen informatie GS &amp; warmtenet'!B57),0,'Eigen informatie GS &amp; warmtenet'!B57)</f>
        <v>0</v>
      </c>
      <c r="D5" s="30">
        <f>(SUM(HH_hh_gas_kWh,HH_rest_gas_kWh)/1000)*0.902</f>
        <v>90892.5022016</v>
      </c>
      <c r="E5" s="17">
        <f>B46*B57</f>
        <v>6176.0996950647268</v>
      </c>
      <c r="F5" s="17">
        <f>B51*B62</f>
        <v>25057.813469905199</v>
      </c>
      <c r="G5" s="18"/>
      <c r="H5" s="17"/>
      <c r="I5" s="17"/>
      <c r="J5" s="17">
        <f>B50*B61+C50*C61</f>
        <v>0</v>
      </c>
      <c r="K5" s="17"/>
      <c r="L5" s="17"/>
      <c r="M5" s="17"/>
      <c r="N5" s="17">
        <f>B48*B59+C48*C59</f>
        <v>12406.716703404962</v>
      </c>
      <c r="O5" s="17">
        <f>B69*B70*B71</f>
        <v>373.63666666666671</v>
      </c>
      <c r="P5" s="17">
        <f>B77*B78*B79/1000-B77*B78*B79/1000/B80</f>
        <v>953.33333333333326</v>
      </c>
    </row>
    <row r="6" spans="1:16">
      <c r="A6" s="16" t="s">
        <v>624</v>
      </c>
      <c r="B6" s="843">
        <f>kWh_PV_kleiner_dan_10kW</f>
        <v>4173.5661209109576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41809.761106910963</v>
      </c>
      <c r="C8" s="21">
        <f>C5</f>
        <v>0</v>
      </c>
      <c r="D8" s="21">
        <f>D5</f>
        <v>90892.5022016</v>
      </c>
      <c r="E8" s="21">
        <f>E5</f>
        <v>6176.0996950647268</v>
      </c>
      <c r="F8" s="21">
        <f>F5</f>
        <v>25057.813469905199</v>
      </c>
      <c r="G8" s="21"/>
      <c r="H8" s="21"/>
      <c r="I8" s="21"/>
      <c r="J8" s="21">
        <f>J5</f>
        <v>0</v>
      </c>
      <c r="K8" s="21"/>
      <c r="L8" s="21">
        <f>L5</f>
        <v>0</v>
      </c>
      <c r="M8" s="21">
        <f>M5</f>
        <v>0</v>
      </c>
      <c r="N8" s="21">
        <f>N5</f>
        <v>12406.716703404962</v>
      </c>
      <c r="O8" s="21">
        <f>O5</f>
        <v>373.63666666666671</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0.19282403969917458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8061.9270354920045</v>
      </c>
      <c r="C12" s="23">
        <f ca="1">C10*C8</f>
        <v>0</v>
      </c>
      <c r="D12" s="23">
        <f>D8*D10</f>
        <v>18360.285444723202</v>
      </c>
      <c r="E12" s="23">
        <f>E10*E8</f>
        <v>1401.9746307796929</v>
      </c>
      <c r="F12" s="23">
        <f>F10*F8</f>
        <v>6690.4361964646887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8958</v>
      </c>
      <c r="C28" s="36"/>
      <c r="D28" s="228"/>
    </row>
    <row r="29" spans="1:7" s="15" customFormat="1">
      <c r="A29" s="230" t="s">
        <v>699</v>
      </c>
      <c r="B29" s="37">
        <f>SUM(HH_hh_gas_aantal,HH_rest_gas_aantal)</f>
        <v>5794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5794</v>
      </c>
      <c r="C32" s="167">
        <f>IF(ISERROR(B32/SUM($B$32,$B$34,$B$35,$B$36,$B$38,$B$39)*100),0,B32/SUM($B$32,$B$34,$B$35,$B$36,$B$38,$B$39)*100)</f>
        <v>65.042658284687931</v>
      </c>
      <c r="D32" s="233"/>
      <c r="G32" s="15"/>
    </row>
    <row r="33" spans="1:7">
      <c r="A33" s="171" t="s">
        <v>72</v>
      </c>
      <c r="B33" s="34" t="s">
        <v>111</v>
      </c>
      <c r="C33" s="167"/>
      <c r="D33" s="233"/>
      <c r="G33" s="15"/>
    </row>
    <row r="34" spans="1:7">
      <c r="A34" s="171" t="s">
        <v>73</v>
      </c>
      <c r="B34" s="33">
        <f>IF((($B$28-$B$32-$B$39-$B$77-$B$38)*C20/100)&lt;0,0,($B$28-$B$32-$B$39-$B$77-$B$38)*C20/100)</f>
        <v>273.06261980830669</v>
      </c>
      <c r="C34" s="167">
        <f>IF(ISERROR(B34/SUM($B$32,$B$34,$B$35,$B$36,$B$38,$B$39)*100),0,B34/SUM($B$32,$B$34,$B$35,$B$36,$B$38,$B$39)*100)</f>
        <v>3.0653639403716513</v>
      </c>
      <c r="D34" s="233"/>
      <c r="G34" s="15"/>
    </row>
    <row r="35" spans="1:7">
      <c r="A35" s="171" t="s">
        <v>74</v>
      </c>
      <c r="B35" s="33">
        <f>IF((($B$28-$B$32-$B$39-$B$77-$B$38)*C21/100)&lt;0,0,($B$28-$B$32-$B$39-$B$77-$B$38)*C21/100)</f>
        <v>1618.3955271565492</v>
      </c>
      <c r="C35" s="167">
        <f>IF(ISERROR(B35/SUM($B$32,$B$34,$B$35,$B$36,$B$38,$B$39)*100),0,B35/SUM($B$32,$B$34,$B$35,$B$36,$B$38,$B$39)*100)</f>
        <v>18.167888719763685</v>
      </c>
      <c r="D35" s="233"/>
      <c r="G35" s="15"/>
    </row>
    <row r="36" spans="1:7">
      <c r="A36" s="171" t="s">
        <v>75</v>
      </c>
      <c r="B36" s="33">
        <f>IF((($B$28-$B$32-$B$39-$B$77-$B$38)*C22/100)&lt;0,0,($B$28-$B$32-$B$39-$B$77-$B$38)*C22/100)</f>
        <v>193.14185303514375</v>
      </c>
      <c r="C36" s="167">
        <f>IF(ISERROR(B36/SUM($B$32,$B$34,$B$35,$B$36,$B$38,$B$39)*100),0,B36/SUM($B$32,$B$34,$B$35,$B$36,$B$38,$B$39)*100)</f>
        <v>2.1681842505067777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1029.4000000000001</v>
      </c>
      <c r="C39" s="167">
        <f>IF(ISERROR(B39/SUM($B$32,$B$34,$B$35,$B$36,$B$38,$B$39)*100),0,B39/SUM($B$32,$B$34,$B$35,$B$36,$B$38,$B$39)*100)</f>
        <v>11.555904804669961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5794</v>
      </c>
      <c r="C44" s="34" t="s">
        <v>111</v>
      </c>
      <c r="D44" s="174"/>
    </row>
    <row r="45" spans="1:7">
      <c r="A45" s="171" t="s">
        <v>72</v>
      </c>
      <c r="B45" s="33" t="str">
        <f t="shared" si="0"/>
        <v>-</v>
      </c>
      <c r="C45" s="34" t="s">
        <v>111</v>
      </c>
      <c r="D45" s="174"/>
    </row>
    <row r="46" spans="1:7">
      <c r="A46" s="171" t="s">
        <v>73</v>
      </c>
      <c r="B46" s="33">
        <f t="shared" si="0"/>
        <v>273.06261980830669</v>
      </c>
      <c r="C46" s="34" t="s">
        <v>111</v>
      </c>
      <c r="D46" s="174"/>
    </row>
    <row r="47" spans="1:7">
      <c r="A47" s="171" t="s">
        <v>74</v>
      </c>
      <c r="B47" s="33">
        <f t="shared" si="0"/>
        <v>1618.3955271565492</v>
      </c>
      <c r="C47" s="34" t="s">
        <v>111</v>
      </c>
      <c r="D47" s="174"/>
    </row>
    <row r="48" spans="1:7">
      <c r="A48" s="171" t="s">
        <v>75</v>
      </c>
      <c r="B48" s="33">
        <f t="shared" si="0"/>
        <v>193.14185303514375</v>
      </c>
      <c r="C48" s="33">
        <f>B48*10</f>
        <v>1931.4185303514375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1029.4000000000001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19561.262714889999</v>
      </c>
      <c r="C5" s="17">
        <f>IF(ISERROR('Eigen informatie GS &amp; warmtenet'!B58),0,'Eigen informatie GS &amp; warmtenet'!B58)</f>
        <v>0</v>
      </c>
      <c r="D5" s="30">
        <f>SUM(D6:D12)</f>
        <v>21076.869644468599</v>
      </c>
      <c r="E5" s="17">
        <f>SUM(E6:E12)</f>
        <v>354.79310842082305</v>
      </c>
      <c r="F5" s="17">
        <f>SUM(F6:F12)</f>
        <v>4989.9169488637535</v>
      </c>
      <c r="G5" s="18"/>
      <c r="H5" s="17"/>
      <c r="I5" s="17"/>
      <c r="J5" s="17">
        <f>SUM(J6:J12)</f>
        <v>0</v>
      </c>
      <c r="K5" s="17"/>
      <c r="L5" s="17"/>
      <c r="M5" s="17"/>
      <c r="N5" s="17">
        <f>SUM(N6:N12)</f>
        <v>2434.6271234871506</v>
      </c>
      <c r="O5" s="17">
        <f>B38*B39*B40</f>
        <v>1.5633333333333335</v>
      </c>
      <c r="P5" s="17">
        <f>B46*B47*B48/1000-B46*B47*B48/1000/B49</f>
        <v>19.066666666666666</v>
      </c>
      <c r="R5" s="32"/>
    </row>
    <row r="6" spans="1:18">
      <c r="A6" s="32" t="s">
        <v>54</v>
      </c>
      <c r="B6" s="37">
        <f>B26</f>
        <v>3432.7170170999998</v>
      </c>
      <c r="C6" s="33"/>
      <c r="D6" s="37">
        <f>IF(ISERROR(TER_kantoor_gas_kWh/1000),0,TER_kantoor_gas_kWh/1000)*0.902</f>
        <v>5333.9687835016002</v>
      </c>
      <c r="E6" s="33">
        <f>$C$26*'E Balans VL '!I12/100/3.6*1000000</f>
        <v>44.938494248055385</v>
      </c>
      <c r="F6" s="33">
        <f>$C$26*('E Balans VL '!L12+'E Balans VL '!N12)/100/3.6*1000000</f>
        <v>875.30736698791225</v>
      </c>
      <c r="G6" s="34"/>
      <c r="H6" s="33"/>
      <c r="I6" s="33"/>
      <c r="J6" s="33">
        <f>$C$26*('E Balans VL '!D12+'E Balans VL '!E12)/100/3.6*1000000</f>
        <v>0</v>
      </c>
      <c r="K6" s="33"/>
      <c r="L6" s="33"/>
      <c r="M6" s="33"/>
      <c r="N6" s="33">
        <f>$C$26*'E Balans VL '!Y12/100/3.6*1000000</f>
        <v>3.4442765077891178</v>
      </c>
      <c r="O6" s="33"/>
      <c r="P6" s="33"/>
      <c r="R6" s="32"/>
    </row>
    <row r="7" spans="1:18">
      <c r="A7" s="32" t="s">
        <v>53</v>
      </c>
      <c r="B7" s="37">
        <f t="shared" ref="B7:B12" si="0">B27</f>
        <v>1300.1182154999999</v>
      </c>
      <c r="C7" s="33"/>
      <c r="D7" s="37">
        <f>IF(ISERROR(TER_horeca_gas_kWh/1000),0,TER_horeca_gas_kWh/1000)*0.902</f>
        <v>1929.0119324102</v>
      </c>
      <c r="E7" s="33">
        <f>$C$27*'E Balans VL '!I9/100/3.6*1000000</f>
        <v>43.026004579238283</v>
      </c>
      <c r="F7" s="33">
        <f>$C$27*('E Balans VL '!L9+'E Balans VL '!N9)/100/3.6*1000000</f>
        <v>559.04585000845782</v>
      </c>
      <c r="G7" s="34"/>
      <c r="H7" s="33"/>
      <c r="I7" s="33"/>
      <c r="J7" s="33">
        <f>$C$27*('E Balans VL '!D9+'E Balans VL '!E9)/100/3.6*1000000</f>
        <v>0</v>
      </c>
      <c r="K7" s="33"/>
      <c r="L7" s="33"/>
      <c r="M7" s="33"/>
      <c r="N7" s="33">
        <f>$C$27*'E Balans VL '!Y9/100/3.6*1000000</f>
        <v>0.31295733425922373</v>
      </c>
      <c r="O7" s="33"/>
      <c r="P7" s="33"/>
      <c r="R7" s="32"/>
    </row>
    <row r="8" spans="1:18">
      <c r="A8" s="6" t="s">
        <v>52</v>
      </c>
      <c r="B8" s="37">
        <f t="shared" si="0"/>
        <v>2953.9060433</v>
      </c>
      <c r="C8" s="33"/>
      <c r="D8" s="37">
        <f>IF(ISERROR(TER_handel_gas_kWh/1000),0,TER_handel_gas_kWh/1000)*0.902</f>
        <v>1438.8828563494003</v>
      </c>
      <c r="E8" s="33">
        <f>$C$28*'E Balans VL '!I13/100/3.6*1000000</f>
        <v>93.229788160632651</v>
      </c>
      <c r="F8" s="33">
        <f>$C$28*('E Balans VL '!L13+'E Balans VL '!N13)/100/3.6*1000000</f>
        <v>579.31299014717149</v>
      </c>
      <c r="G8" s="34"/>
      <c r="H8" s="33"/>
      <c r="I8" s="33"/>
      <c r="J8" s="33">
        <f>$C$28*('E Balans VL '!D13+'E Balans VL '!E13)/100/3.6*1000000</f>
        <v>0</v>
      </c>
      <c r="K8" s="33"/>
      <c r="L8" s="33"/>
      <c r="M8" s="33"/>
      <c r="N8" s="33">
        <f>$C$28*'E Balans VL '!Y13/100/3.6*1000000</f>
        <v>3.5057129795792705</v>
      </c>
      <c r="O8" s="33"/>
      <c r="P8" s="33"/>
      <c r="R8" s="32"/>
    </row>
    <row r="9" spans="1:18">
      <c r="A9" s="32" t="s">
        <v>51</v>
      </c>
      <c r="B9" s="37">
        <f t="shared" si="0"/>
        <v>193.74975398999999</v>
      </c>
      <c r="C9" s="33"/>
      <c r="D9" s="37">
        <f>IF(ISERROR(TER_gezond_gas_kWh/1000),0,TER_gezond_gas_kWh/1000)*0.902</f>
        <v>160.76900109424</v>
      </c>
      <c r="E9" s="33">
        <f>$C$29*'E Balans VL '!I10/100/3.6*1000000</f>
        <v>2.4805636534010168E-2</v>
      </c>
      <c r="F9" s="33">
        <f>$C$29*('E Balans VL '!L10+'E Balans VL '!N10)/100/3.6*1000000</f>
        <v>40.366194552523972</v>
      </c>
      <c r="G9" s="34"/>
      <c r="H9" s="33"/>
      <c r="I9" s="33"/>
      <c r="J9" s="33">
        <f>$C$29*('E Balans VL '!D10+'E Balans VL '!E10)/100/3.6*1000000</f>
        <v>0</v>
      </c>
      <c r="K9" s="33"/>
      <c r="L9" s="33"/>
      <c r="M9" s="33"/>
      <c r="N9" s="33">
        <f>$C$29*'E Balans VL '!Y10/100/3.6*1000000</f>
        <v>2.2756824387856858</v>
      </c>
      <c r="O9" s="33"/>
      <c r="P9" s="33"/>
      <c r="R9" s="32"/>
    </row>
    <row r="10" spans="1:18">
      <c r="A10" s="32" t="s">
        <v>50</v>
      </c>
      <c r="B10" s="37">
        <f t="shared" si="0"/>
        <v>1992.4319072000001</v>
      </c>
      <c r="C10" s="33"/>
      <c r="D10" s="37">
        <f>IF(ISERROR(TER_ander_gas_kWh/1000),0,TER_ander_gas_kWh/1000)*0.902</f>
        <v>1796.9086125628003</v>
      </c>
      <c r="E10" s="33">
        <f>$C$30*'E Balans VL '!I14/100/3.6*1000000</f>
        <v>2.9961490370079522</v>
      </c>
      <c r="F10" s="33">
        <f>$C$30*('E Balans VL '!L14+'E Balans VL '!N14)/100/3.6*1000000</f>
        <v>439.86473987020639</v>
      </c>
      <c r="G10" s="34"/>
      <c r="H10" s="33"/>
      <c r="I10" s="33"/>
      <c r="J10" s="33">
        <f>$C$30*('E Balans VL '!D14+'E Balans VL '!E14)/100/3.6*1000000</f>
        <v>0</v>
      </c>
      <c r="K10" s="33"/>
      <c r="L10" s="33"/>
      <c r="M10" s="33"/>
      <c r="N10" s="33">
        <f>$C$30*'E Balans VL '!Y14/100/3.6*1000000</f>
        <v>1570.1704284854241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9688.3397777999999</v>
      </c>
      <c r="C12" s="33"/>
      <c r="D12" s="37">
        <f>IF(ISERROR(TER_rest_gas_kWh/1000),0,TER_rest_gas_kWh/1000)*0.902</f>
        <v>10417.328458550357</v>
      </c>
      <c r="E12" s="33">
        <f>$C$32*'E Balans VL '!I8/100/3.6*1000000</f>
        <v>170.57786675935478</v>
      </c>
      <c r="F12" s="33">
        <f>$C$32*('E Balans VL '!L8+'E Balans VL '!N8)/100/3.6*1000000</f>
        <v>2496.0198072974813</v>
      </c>
      <c r="G12" s="34"/>
      <c r="H12" s="33"/>
      <c r="I12" s="33"/>
      <c r="J12" s="33">
        <f>$C$32*('E Balans VL '!D8+'E Balans VL '!E8)/100/3.6*1000000</f>
        <v>0</v>
      </c>
      <c r="K12" s="33"/>
      <c r="L12" s="33"/>
      <c r="M12" s="33"/>
      <c r="N12" s="33">
        <f>$C$32*'E Balans VL '!Y8/100/3.6*1000000</f>
        <v>854.91806574131317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19561.262714889999</v>
      </c>
      <c r="C16" s="21">
        <f t="shared" ca="1" si="1"/>
        <v>0</v>
      </c>
      <c r="D16" s="21">
        <f t="shared" ca="1" si="1"/>
        <v>21076.869644468599</v>
      </c>
      <c r="E16" s="21">
        <f t="shared" si="1"/>
        <v>354.79310842082305</v>
      </c>
      <c r="F16" s="21">
        <f t="shared" ca="1" si="1"/>
        <v>4989.9169488637535</v>
      </c>
      <c r="G16" s="21">
        <f t="shared" si="1"/>
        <v>0</v>
      </c>
      <c r="H16" s="21">
        <f t="shared" si="1"/>
        <v>0</v>
      </c>
      <c r="I16" s="21">
        <f t="shared" si="1"/>
        <v>0</v>
      </c>
      <c r="J16" s="21">
        <f t="shared" si="1"/>
        <v>0</v>
      </c>
      <c r="K16" s="21">
        <f t="shared" si="1"/>
        <v>0</v>
      </c>
      <c r="L16" s="21">
        <f t="shared" ca="1" si="1"/>
        <v>0</v>
      </c>
      <c r="M16" s="21">
        <f t="shared" si="1"/>
        <v>0</v>
      </c>
      <c r="N16" s="21">
        <f t="shared" ca="1" si="1"/>
        <v>2434.6271234871506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0.19282403969917458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3771.8816983019328</v>
      </c>
      <c r="C20" s="23">
        <f t="shared" ref="C20:P20" ca="1" si="2">C16*C18</f>
        <v>0</v>
      </c>
      <c r="D20" s="23">
        <f t="shared" ca="1" si="2"/>
        <v>4257.5276681826572</v>
      </c>
      <c r="E20" s="23">
        <f t="shared" si="2"/>
        <v>80.538035611526837</v>
      </c>
      <c r="F20" s="23">
        <f t="shared" ca="1" si="2"/>
        <v>1332.3078253466222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3432.7170170999998</v>
      </c>
      <c r="C26" s="39">
        <f>IF(ISERROR(B26*3.6/1000000/'E Balans VL '!Z12*100),0,B26*3.6/1000000/'E Balans VL '!Z12*100)</f>
        <v>7.3531465280289657E-2</v>
      </c>
      <c r="D26" s="237" t="s">
        <v>660</v>
      </c>
      <c r="F26" s="6"/>
    </row>
    <row r="27" spans="1:18">
      <c r="A27" s="231" t="s">
        <v>53</v>
      </c>
      <c r="B27" s="33">
        <f>IF(ISERROR(TER_horeca_ele_kWh/1000),0,TER_horeca_ele_kWh/1000)</f>
        <v>1300.1182154999999</v>
      </c>
      <c r="C27" s="39">
        <f>IF(ISERROR(B27*3.6/1000000/'E Balans VL '!Z9*100),0,B27*3.6/1000000/'E Balans VL '!Z9*100)</f>
        <v>0.10432996762908579</v>
      </c>
      <c r="D27" s="237" t="s">
        <v>660</v>
      </c>
      <c r="F27" s="6"/>
    </row>
    <row r="28" spans="1:18">
      <c r="A28" s="171" t="s">
        <v>52</v>
      </c>
      <c r="B28" s="33">
        <f>IF(ISERROR(TER_handel_ele_kWh/1000),0,TER_handel_ele_kWh/1000)</f>
        <v>2953.9060433</v>
      </c>
      <c r="C28" s="39">
        <f>IF(ISERROR(B28*3.6/1000000/'E Balans VL '!Z13*100),0,B28*3.6/1000000/'E Balans VL '!Z13*100)</f>
        <v>8.7123285348084181E-2</v>
      </c>
      <c r="D28" s="237" t="s">
        <v>660</v>
      </c>
      <c r="F28" s="6"/>
    </row>
    <row r="29" spans="1:18">
      <c r="A29" s="231" t="s">
        <v>51</v>
      </c>
      <c r="B29" s="33">
        <f>IF(ISERROR(TER_gezond_ele_kWh/1000),0,TER_gezond_ele_kWh/1000)</f>
        <v>193.74975398999999</v>
      </c>
      <c r="C29" s="39">
        <f>IF(ISERROR(B29*3.6/1000000/'E Balans VL '!Z10*100),0,B29*3.6/1000000/'E Balans VL '!Z10*100)</f>
        <v>2.068727910043067E-2</v>
      </c>
      <c r="D29" s="237" t="s">
        <v>660</v>
      </c>
      <c r="F29" s="6"/>
    </row>
    <row r="30" spans="1:18">
      <c r="A30" s="231" t="s">
        <v>50</v>
      </c>
      <c r="B30" s="33">
        <f>IF(ISERROR(TER_ander_ele_kWh/1000),0,TER_ander_ele_kWh/1000)</f>
        <v>1992.4319072000001</v>
      </c>
      <c r="C30" s="39">
        <f>IF(ISERROR(B30*3.6/1000000/'E Balans VL '!Z14*100),0,B30*3.6/1000000/'E Balans VL '!Z14*100)</f>
        <v>0.15049620591532289</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9688.3397777999999</v>
      </c>
      <c r="C32" s="39">
        <f>IF(ISERROR(B32*3.6/1000000/'E Balans VL '!Z8*100),0,B32*3.6/1000000/'E Balans VL '!Z8*100)</f>
        <v>8.0329827673777512E-2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1831.46471406</v>
      </c>
      <c r="C5" s="17">
        <f>IF(ISERROR('Eigen informatie GS &amp; warmtenet'!B59),0,'Eigen informatie GS &amp; warmtenet'!B59)</f>
        <v>0</v>
      </c>
      <c r="D5" s="30">
        <f>SUM(D6:D15)</f>
        <v>1421.01942901908</v>
      </c>
      <c r="E5" s="17">
        <f>SUM(E6:E15)</f>
        <v>179.70071804171579</v>
      </c>
      <c r="F5" s="17">
        <f>SUM(F6:F15)</f>
        <v>717.34091355419002</v>
      </c>
      <c r="G5" s="18"/>
      <c r="H5" s="17"/>
      <c r="I5" s="17"/>
      <c r="J5" s="17">
        <f>SUM(J6:J15)</f>
        <v>7.6327013359722136</v>
      </c>
      <c r="K5" s="17"/>
      <c r="L5" s="17"/>
      <c r="M5" s="17"/>
      <c r="N5" s="17">
        <f>SUM(N6:N15)</f>
        <v>462.60655807596061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99.400796189999994</v>
      </c>
      <c r="C8" s="33"/>
      <c r="D8" s="37">
        <f>IF( ISERROR(IND_metaal_Gas_kWH/1000),0,IND_metaal_Gas_kWH/1000)*0.902</f>
        <v>0</v>
      </c>
      <c r="E8" s="33">
        <f>C30*'E Balans VL '!I18/100/3.6*1000000</f>
        <v>3.5767413547090561</v>
      </c>
      <c r="F8" s="33">
        <f>C30*'E Balans VL '!L18/100/3.6*1000000+C30*'E Balans VL '!N18/100/3.6*1000000</f>
        <v>43.405105469039512</v>
      </c>
      <c r="G8" s="34"/>
      <c r="H8" s="33"/>
      <c r="I8" s="33"/>
      <c r="J8" s="40">
        <f>C30*'E Balans VL '!D18/100/3.6*1000000+C30*'E Balans VL '!E18/100/3.6*1000000</f>
        <v>0</v>
      </c>
      <c r="K8" s="33"/>
      <c r="L8" s="33"/>
      <c r="M8" s="33"/>
      <c r="N8" s="33">
        <f>C30*'E Balans VL '!Y18/100/3.6*1000000</f>
        <v>4.9819003550442176</v>
      </c>
      <c r="O8" s="33"/>
      <c r="P8" s="33"/>
      <c r="R8" s="32"/>
    </row>
    <row r="9" spans="1:18">
      <c r="A9" s="6" t="s">
        <v>33</v>
      </c>
      <c r="B9" s="37">
        <f t="shared" si="0"/>
        <v>456.69909134</v>
      </c>
      <c r="C9" s="33"/>
      <c r="D9" s="37">
        <f>IF( ISERROR(IND_andere_gas_kWh/1000),0,IND_andere_gas_kWh/1000)*0.902</f>
        <v>472.25871357720001</v>
      </c>
      <c r="E9" s="33">
        <f>C31*'E Balans VL '!I19/100/3.6*1000000</f>
        <v>116.5392750036069</v>
      </c>
      <c r="F9" s="33">
        <f>C31*'E Balans VL '!L19/100/3.6*1000000+C31*'E Balans VL '!N19/100/3.6*1000000</f>
        <v>393.18359080552204</v>
      </c>
      <c r="G9" s="34"/>
      <c r="H9" s="33"/>
      <c r="I9" s="33"/>
      <c r="J9" s="40">
        <f>C31*'E Balans VL '!D19/100/3.6*1000000+C31*'E Balans VL '!E19/100/3.6*1000000</f>
        <v>0</v>
      </c>
      <c r="K9" s="33"/>
      <c r="L9" s="33"/>
      <c r="M9" s="33"/>
      <c r="N9" s="33">
        <f>C31*'E Balans VL '!Y19/100/3.6*1000000</f>
        <v>142.82544617244147</v>
      </c>
      <c r="O9" s="33"/>
      <c r="P9" s="33"/>
      <c r="R9" s="32"/>
    </row>
    <row r="10" spans="1:18">
      <c r="A10" s="6" t="s">
        <v>41</v>
      </c>
      <c r="B10" s="37">
        <f t="shared" si="0"/>
        <v>333.88307659000003</v>
      </c>
      <c r="C10" s="33"/>
      <c r="D10" s="37">
        <f>IF( ISERROR(IND_voed_gas_kWh/1000),0,IND_voed_gas_kWh/1000)*0.902</f>
        <v>202.91676973370002</v>
      </c>
      <c r="E10" s="33">
        <f>C32*'E Balans VL '!I20/100/3.6*1000000</f>
        <v>8.4877662659519011</v>
      </c>
      <c r="F10" s="33">
        <f>C32*'E Balans VL '!L20/100/3.6*1000000+C32*'E Balans VL '!N20/100/3.6*1000000</f>
        <v>75.552728215100757</v>
      </c>
      <c r="G10" s="34"/>
      <c r="H10" s="33"/>
      <c r="I10" s="33"/>
      <c r="J10" s="40">
        <f>C32*'E Balans VL '!D20/100/3.6*1000000+C32*'E Balans VL '!E20/100/3.6*1000000</f>
        <v>0</v>
      </c>
      <c r="K10" s="33"/>
      <c r="L10" s="33"/>
      <c r="M10" s="33"/>
      <c r="N10" s="33">
        <f>C32*'E Balans VL '!Y20/100/3.6*1000000</f>
        <v>125.2152039780207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941.48174993999999</v>
      </c>
      <c r="C15" s="33"/>
      <c r="D15" s="37">
        <f>IF( ISERROR(IND_rest_gas_kWh/1000),0,IND_rest_gas_kWh/1000)*0.902</f>
        <v>745.84394570817994</v>
      </c>
      <c r="E15" s="33">
        <f>C37*'E Balans VL '!I15/100/3.6*1000000</f>
        <v>51.096935417447931</v>
      </c>
      <c r="F15" s="33">
        <f>C37*'E Balans VL '!L15/100/3.6*1000000+C37*'E Balans VL '!N15/100/3.6*1000000</f>
        <v>205.19948906452768</v>
      </c>
      <c r="G15" s="34"/>
      <c r="H15" s="33"/>
      <c r="I15" s="33"/>
      <c r="J15" s="40">
        <f>C37*'E Balans VL '!D15/100/3.6*1000000+C37*'E Balans VL '!E15/100/3.6*1000000</f>
        <v>7.6327013359722136</v>
      </c>
      <c r="K15" s="33"/>
      <c r="L15" s="33"/>
      <c r="M15" s="33"/>
      <c r="N15" s="33">
        <f>C37*'E Balans VL '!Y15/100/3.6*1000000</f>
        <v>189.58400757045419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1831.46471406</v>
      </c>
      <c r="C18" s="21">
        <f>C5+C16</f>
        <v>0</v>
      </c>
      <c r="D18" s="21">
        <f>MAX((D5+D16),0)</f>
        <v>1421.01942901908</v>
      </c>
      <c r="E18" s="21">
        <f>MAX((E5+E16),0)</f>
        <v>179.70071804171579</v>
      </c>
      <c r="F18" s="21">
        <f>MAX((F5+F16),0)</f>
        <v>717.34091355419002</v>
      </c>
      <c r="G18" s="21"/>
      <c r="H18" s="21"/>
      <c r="I18" s="21"/>
      <c r="J18" s="21">
        <f>MAX((J5+J16),0)</f>
        <v>7.6327013359722136</v>
      </c>
      <c r="K18" s="21"/>
      <c r="L18" s="21">
        <f>MAX((L5+L16),0)</f>
        <v>0</v>
      </c>
      <c r="M18" s="21"/>
      <c r="N18" s="21">
        <f>MAX((N5+N16),0)</f>
        <v>462.60655807596061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0.19282403969917458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353.15042473154284</v>
      </c>
      <c r="C22" s="23">
        <f ca="1">C18*C20</f>
        <v>0</v>
      </c>
      <c r="D22" s="23">
        <f>D18*D20</f>
        <v>287.0459246618542</v>
      </c>
      <c r="E22" s="23">
        <f>E18*E20</f>
        <v>40.792062995469486</v>
      </c>
      <c r="F22" s="23">
        <f>F18*F20</f>
        <v>191.53002391896874</v>
      </c>
      <c r="G22" s="23"/>
      <c r="H22" s="23"/>
      <c r="I22" s="23"/>
      <c r="J22" s="23">
        <f>J18*J20</f>
        <v>2.7019762729341634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99.400796189999994</v>
      </c>
      <c r="C30" s="39">
        <f>IF(ISERROR(B30*3.6/1000000/'E Balans VL '!Z18*100),0,B30*3.6/1000000/'E Balans VL '!Z18*100)</f>
        <v>2.1060897615756899E-2</v>
      </c>
      <c r="D30" s="237" t="s">
        <v>660</v>
      </c>
    </row>
    <row r="31" spans="1:18">
      <c r="A31" s="6" t="s">
        <v>33</v>
      </c>
      <c r="B31" s="37">
        <f>IF( ISERROR(IND_ander_ele_kWh/1000),0,IND_ander_ele_kWh/1000)</f>
        <v>456.69909134</v>
      </c>
      <c r="C31" s="39">
        <f>IF(ISERROR(B31*3.6/1000000/'E Balans VL '!Z19*100),0,B31*3.6/1000000/'E Balans VL '!Z19*100)</f>
        <v>1.9223501765205042E-2</v>
      </c>
      <c r="D31" s="237" t="s">
        <v>660</v>
      </c>
    </row>
    <row r="32" spans="1:18">
      <c r="A32" s="171" t="s">
        <v>41</v>
      </c>
      <c r="B32" s="37">
        <f>IF( ISERROR(IND_voed_ele_kWh/1000),0,IND_voed_ele_kWh/1000)</f>
        <v>333.88307659000003</v>
      </c>
      <c r="C32" s="39">
        <f>IF(ISERROR(B32*3.6/1000000/'E Balans VL '!Z20*100),0,B32*3.6/1000000/'E Balans VL '!Z20*100)</f>
        <v>5.5778945571558491E-2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941.48174993999999</v>
      </c>
      <c r="C37" s="39">
        <f>IF(ISERROR(B37*3.6/1000000/'E Balans VL '!Z15*100),0,B37*3.6/1000000/'E Balans VL '!Z15*100)</f>
        <v>7.6009467257082755E-3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395.03988524700003</v>
      </c>
      <c r="C5" s="17">
        <f>'Eigen informatie GS &amp; warmtenet'!B60</f>
        <v>0</v>
      </c>
      <c r="D5" s="30">
        <f>IF(ISERROR(SUM(LB_lb_gas_kWh,LB_rest_gas_kWh,onbekend_gas_kWh)/1000),0,SUM(LB_lb_gas_kWh,LB_rest_gas_kWh,onbekend_gas_kWh)/1000)*0.902</f>
        <v>2793.3149240818798</v>
      </c>
      <c r="E5" s="17">
        <f>B17*'E Balans VL '!I25/3.6*1000000/100</f>
        <v>10.18656186272268</v>
      </c>
      <c r="F5" s="17">
        <f>B17*('E Balans VL '!L25/3.6*1000000+'E Balans VL '!N25/3.6*1000000)/100</f>
        <v>1443.9460122693899</v>
      </c>
      <c r="G5" s="18"/>
      <c r="H5" s="17"/>
      <c r="I5" s="17"/>
      <c r="J5" s="17">
        <f>('E Balans VL '!D25+'E Balans VL '!E25)/3.6*1000000*landbouw!B17/100</f>
        <v>56.87121127877883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395.03988524700003</v>
      </c>
      <c r="C8" s="21">
        <f>C5+C6</f>
        <v>0</v>
      </c>
      <c r="D8" s="21">
        <f>MAX((D5+D6),0)</f>
        <v>2793.3149240818798</v>
      </c>
      <c r="E8" s="21">
        <f>MAX((E5+E6),0)</f>
        <v>10.18656186272268</v>
      </c>
      <c r="F8" s="21">
        <f>MAX((F5+F6),0)</f>
        <v>1443.9460122693899</v>
      </c>
      <c r="G8" s="21"/>
      <c r="H8" s="21"/>
      <c r="I8" s="21"/>
      <c r="J8" s="21">
        <f>MAX((J5+J6),0)</f>
        <v>56.87121127877883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0.19282403969917458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76.173186515624906</v>
      </c>
      <c r="C12" s="23">
        <f ca="1">C8*C10</f>
        <v>0</v>
      </c>
      <c r="D12" s="23">
        <f>D8*D10</f>
        <v>564.24961466453976</v>
      </c>
      <c r="E12" s="23">
        <f>E8*E10</f>
        <v>2.3123495428380485</v>
      </c>
      <c r="F12" s="23">
        <f>F8*F10</f>
        <v>385.53358527592712</v>
      </c>
      <c r="G12" s="23"/>
      <c r="H12" s="23"/>
      <c r="I12" s="23"/>
      <c r="J12" s="23">
        <f>J8*J10</f>
        <v>20.132408792687706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5.5703240505353274E-2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118.75595036559477</v>
      </c>
      <c r="C26" s="247">
        <f>B26*'GWP N2O_CH4'!B5</f>
        <v>2493.8749576774903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14.146005662724768</v>
      </c>
      <c r="C27" s="247">
        <f>B27*'GWP N2O_CH4'!B5</f>
        <v>297.06611891722014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1.6074692540731832</v>
      </c>
      <c r="C28" s="247">
        <f>B28*'GWP N2O_CH4'!B4</f>
        <v>498.31546876268681</v>
      </c>
      <c r="D28" s="50"/>
    </row>
    <row r="29" spans="1:4">
      <c r="A29" s="41" t="s">
        <v>277</v>
      </c>
      <c r="B29" s="247">
        <f>B34*'ha_N2O bodem landbouw'!B4</f>
        <v>11.587508218548813</v>
      </c>
      <c r="C29" s="247">
        <f>B29*'GWP N2O_CH4'!B4</f>
        <v>3592.1275477501317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2.6078190326871914E-3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2.2204168724300678E-4</v>
      </c>
      <c r="C5" s="463" t="s">
        <v>211</v>
      </c>
      <c r="D5" s="448">
        <f>SUM(D6:D11)</f>
        <v>4.8458483608474428E-4</v>
      </c>
      <c r="E5" s="448">
        <f>SUM(E6:E11)</f>
        <v>2.1751028705568921E-3</v>
      </c>
      <c r="F5" s="461" t="s">
        <v>211</v>
      </c>
      <c r="G5" s="448">
        <f>SUM(G6:G11)</f>
        <v>0.73878980304228492</v>
      </c>
      <c r="H5" s="448">
        <f>SUM(H6:H11)</f>
        <v>0.13409092567600761</v>
      </c>
      <c r="I5" s="463" t="s">
        <v>211</v>
      </c>
      <c r="J5" s="463" t="s">
        <v>211</v>
      </c>
      <c r="K5" s="463" t="s">
        <v>211</v>
      </c>
      <c r="L5" s="463" t="s">
        <v>211</v>
      </c>
      <c r="M5" s="448">
        <f>SUM(M6:M11)</f>
        <v>2.7292797487920052E-2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5.9182370468950422E-5</v>
      </c>
      <c r="C6" s="449"/>
      <c r="D6" s="962">
        <f>vkm_2011_GW_PW*SUMIFS(TableVerdeelsleutelVkm[CNG],TableVerdeelsleutelVkm[Voertuigtype],"Lichte voertuigen")*SUMIFS(TableECFTransport[EnergieConsumptieFactor (PJ per km)],TableECFTransport[Index],CONCATENATE($A6,"_CNG_CNG"))</f>
        <v>1.1759640679183632E-4</v>
      </c>
      <c r="E6" s="962">
        <f>vkm_2011_GW_PW*SUMIFS(TableVerdeelsleutelVkm[LPG],TableVerdeelsleutelVkm[Voertuigtype],"Lichte voertuigen")*SUMIFS(TableECFTransport[EnergieConsumptieFactor (PJ per km)],TableECFTransport[Index],CONCATENATE($A6,"_LPG_LPG"))</f>
        <v>4.6278401587757225E-4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0.11003415993016785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3.1836885128234897E-2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4.4208327696582854E-3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4.6842125119821693E-2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1.5132007205178262E-5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1.475923690511062E-3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1.9625832283342264E-5</v>
      </c>
      <c r="C8" s="449"/>
      <c r="D8" s="451">
        <f>vkm_2011_NGW_PW*SUMIFS(TableVerdeelsleutelVkm[CNG],TableVerdeelsleutelVkm[Voertuigtype],"Lichte voertuigen")*SUMIFS(TableECFTransport[EnergieConsumptieFactor (PJ per km)],TableECFTransport[Index],CONCATENATE($A8,"_CNG_CNG"))</f>
        <v>6.9049235558207498E-5</v>
      </c>
      <c r="E8" s="451">
        <f>vkm_2011_NGW_PW*SUMIFS(TableVerdeelsleutelVkm[LPG],TableVerdeelsleutelVkm[Voertuigtype],"Lichte voertuigen")*SUMIFS(TableECFTransport[EnergieConsumptieFactor (PJ per km)],TableECFTransport[Index],CONCATENATE($A8,"_LPG_LPG"))</f>
        <v>2.5130547641329982E-4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5.5796880217895417E-2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1.8126435444847124E-2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2.3012039709603034E-3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1.3303601765312536E-2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4.0643631419439085E-6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4.1916913962841907E-4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1.4323348449071408E-4</v>
      </c>
      <c r="C10" s="449"/>
      <c r="D10" s="451">
        <f>vkm_2011_SW_PW*SUMIFS(TableVerdeelsleutelVkm[CNG],TableVerdeelsleutelVkm[Voertuigtype],"Lichte voertuigen")*SUMIFS(TableECFTransport[EnergieConsumptieFactor (PJ per km)],TableECFTransport[Index],CONCATENATE($A10,"_CNG_CNG"))</f>
        <v>2.9793919373470048E-4</v>
      </c>
      <c r="E10" s="451">
        <f>vkm_2011_SW_PW*SUMIFS(TableVerdeelsleutelVkm[LPG],TableVerdeelsleutelVkm[Voertuigtype],"Lichte voertuigen")*SUMIFS(TableECFTransport[EnergieConsumptieFactor (PJ per km)],TableECFTransport[Index],CONCATENATE($A10,"_LPG_LPG"))</f>
        <v>1.4610133782660198E-3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0.31117907476477275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8.403822832050091E-2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1.2322339026918368E-2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0.20163396124431468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7.0180412077555749E-5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6.3533288902436133E-3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61.678246456390774</v>
      </c>
      <c r="C14" s="21"/>
      <c r="D14" s="21">
        <f t="shared" ref="D14:M14" si="0">((D5)*10^9/3600)+D12</f>
        <v>134.60689891242896</v>
      </c>
      <c r="E14" s="21">
        <f t="shared" si="0"/>
        <v>604.19524182135899</v>
      </c>
      <c r="F14" s="21"/>
      <c r="G14" s="21">
        <f t="shared" si="0"/>
        <v>205219.38973396804</v>
      </c>
      <c r="H14" s="21">
        <f t="shared" si="0"/>
        <v>37247.479354446557</v>
      </c>
      <c r="I14" s="21"/>
      <c r="J14" s="21"/>
      <c r="K14" s="21"/>
      <c r="L14" s="21"/>
      <c r="M14" s="21">
        <f t="shared" si="0"/>
        <v>7581.3326355333484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0.19282403969917458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11.893048643282569</v>
      </c>
      <c r="C18" s="23"/>
      <c r="D18" s="23">
        <f t="shared" ref="D18:M18" si="1">D14*D16</f>
        <v>27.190593580310651</v>
      </c>
      <c r="E18" s="23">
        <f t="shared" si="1"/>
        <v>137.15231989344849</v>
      </c>
      <c r="F18" s="23"/>
      <c r="G18" s="23">
        <f t="shared" si="1"/>
        <v>54793.577058969473</v>
      </c>
      <c r="H18" s="23">
        <f t="shared" si="1"/>
        <v>9274.6223592571932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8.6094754294613659E-3</v>
      </c>
      <c r="H50" s="321">
        <f t="shared" si="2"/>
        <v>0</v>
      </c>
      <c r="I50" s="321">
        <f t="shared" si="2"/>
        <v>0</v>
      </c>
      <c r="J50" s="321">
        <f t="shared" si="2"/>
        <v>0</v>
      </c>
      <c r="K50" s="321">
        <f t="shared" si="2"/>
        <v>0</v>
      </c>
      <c r="L50" s="321">
        <f t="shared" si="2"/>
        <v>0</v>
      </c>
      <c r="M50" s="321">
        <f t="shared" si="2"/>
        <v>2.6704666685767249E-4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8.6094754294613659E-3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2.6704666685767249E-4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2391.5209526281569</v>
      </c>
      <c r="H54" s="21">
        <f t="shared" si="3"/>
        <v>0</v>
      </c>
      <c r="I54" s="21">
        <f t="shared" si="3"/>
        <v>0</v>
      </c>
      <c r="J54" s="21">
        <f t="shared" si="3"/>
        <v>0</v>
      </c>
      <c r="K54" s="21">
        <f t="shared" si="3"/>
        <v>0</v>
      </c>
      <c r="L54" s="21">
        <f t="shared" si="3"/>
        <v>0</v>
      </c>
      <c r="M54" s="21">
        <f t="shared" si="3"/>
        <v>74.179629682686809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0.19282403969917458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638.53609435171791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8346.4667628809111</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8346.4667628809111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2019-01-01T21:25:06Z</dcterms:modified>
</cp:coreProperties>
</file>