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L22" i="16"/>
  <c r="M39" i="14" s="1"/>
  <c r="J12" i="17"/>
  <c r="K48" i="14" s="1"/>
  <c r="J7" i="48"/>
  <c r="J24" s="1"/>
  <c r="M13" i="14"/>
  <c r="I5" i="48"/>
  <c r="I22" s="1"/>
  <c r="I31"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C50" i="13"/>
  <c r="J5" s="1"/>
  <c r="J8" s="1"/>
  <c r="C5" i="48"/>
  <c r="Q41" i="14" l="1"/>
  <c r="Q53" s="1"/>
  <c r="Q55" s="1"/>
  <c r="H14" i="22"/>
  <c r="I19" i="14" s="1"/>
  <c r="I20" s="1"/>
  <c r="I23" s="1"/>
  <c r="I14" i="48"/>
  <c r="E12" i="17"/>
  <c r="F48" i="14" s="1"/>
  <c r="P41"/>
  <c r="P53" s="1"/>
  <c r="E7" i="48"/>
  <c r="E24" s="1"/>
  <c r="E13" i="14"/>
  <c r="N7" i="48"/>
  <c r="N24" s="1"/>
  <c r="D8"/>
  <c r="D25"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D31" i="48" l="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N22" i="16"/>
  <c r="O39" i="14" s="1"/>
  <c r="O41" s="1"/>
  <c r="Q4" i="48"/>
  <c r="N22"/>
  <c r="R11" i="14"/>
  <c r="J21" i="48"/>
  <c r="R10" i="14"/>
  <c r="F22" i="16" l="1"/>
  <c r="G39" i="14" s="1"/>
  <c r="G41" s="1"/>
  <c r="F13"/>
  <c r="F15" s="1"/>
  <c r="F23" s="1"/>
  <c r="F55" s="1"/>
  <c r="F8" i="48"/>
  <c r="F14" s="1"/>
  <c r="J8"/>
  <c r="J25" s="1"/>
  <c r="O13" i="14"/>
  <c r="O15" s="1"/>
  <c r="N55"/>
  <c r="Q5" i="48"/>
  <c r="N25"/>
  <c r="N31" s="1"/>
  <c r="N14"/>
  <c r="E25"/>
  <c r="E31" s="1"/>
  <c r="E14"/>
  <c r="K13" i="14"/>
  <c r="K15" s="1"/>
  <c r="K23" s="1"/>
  <c r="H55"/>
  <c r="E55"/>
  <c r="C78"/>
  <c r="C81" s="1"/>
  <c r="J31" i="48"/>
  <c r="Q8"/>
  <c r="R19" i="14"/>
  <c r="R20" s="1"/>
  <c r="H14" i="48"/>
  <c r="G31"/>
  <c r="H26"/>
  <c r="H31" s="1"/>
  <c r="O53" i="14"/>
  <c r="G53"/>
  <c r="G55" s="1"/>
  <c r="O69" s="1"/>
  <c r="B9" i="6" s="1"/>
  <c r="B12" s="1"/>
  <c r="M53" i="14"/>
  <c r="M55" s="1"/>
  <c r="C12" i="13"/>
  <c r="D37" i="14" s="1"/>
  <c r="D41" s="1"/>
  <c r="C24" i="48"/>
  <c r="C28"/>
  <c r="C22"/>
  <c r="C25"/>
  <c r="C21"/>
  <c r="K55" i="14"/>
  <c r="R13"/>
  <c r="R15" s="1"/>
  <c r="F25" i="48"/>
  <c r="F31" s="1"/>
  <c r="J14" l="1"/>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<sst xmlns="http://schemas.openxmlformats.org/spreadsheetml/2006/main" count="2111" uniqueCount="855">
  <si>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</si>
  <si>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</si>
  <si>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</si>
  <si>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</si>
  <si>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</si>
  <si>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</si>
  <si>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</si>
  <si>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</si>
  <si>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</si>
  <si>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</si>
  <si>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</si>
  <si>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</si>
  <si>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</si>
  <si>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</si>
  <si>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</si>
  <si>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</si>
  <si>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</si>
  <si>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</si>
  <si>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</si>
  <si>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</si>
  <si>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</si>
  <si>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</si>
  <si>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</si>
  <si>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</si>
  <si>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</si>
  <si>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</si>
  <si>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</si>
  <si>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</si>
  <si>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</si>
  <si>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</si>
  <si>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</si>
  <si>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</si>
  <si>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</si>
  <si>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</si>
  <si>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</si>
  <si>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</si>
  <si>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</si>
  <si>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</si>
  <si>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</si>
  <si>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</si>
  <si>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</si>
  <si>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</si>
  <si>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</si>
  <si>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</si>
  <si>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</si>
  <si>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</si>
  <si>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</si>
  <si>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</si>
  <si>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</si>
  <si>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</si>
  <si>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</si>
  <si>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</si>
  <si>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</si>
  <si>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</si>
  <si>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</si>
  <si>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</si>
  <si>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</si>
  <si>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</si>
  <si>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</si>
  <si>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</si>
  <si>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</si>
  <si>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</si>
  <si>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</si>
  <si>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</si>
  <si>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</si>
  <si>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</si>
  <si>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</si>
  <si>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</si>
  <si>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</si>
  <si>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</si>
  <si>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</si>
  <si>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</si>
  <si>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</si>
  <si>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</si>
  <si>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</si>
  <si>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</si>
  <si>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</si>
  <si>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</si>
  <si>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</si>
  <si>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</si>
  <si>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</si>
  <si>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</si>
  <si>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</si>
  <si>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</si>
  <si>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</si>
  <si>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</si>
  <si>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</si>
  <si>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</si>
  <si>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</si>
  <si>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</si>
  <si>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</si>
  <si>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</si>
  <si>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</si>
  <si>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</si>
  <si>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</si>
  <si>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</si>
  <si>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</si>
  <si>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</si>
  <si>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</si>
  <si>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</si>
  <si>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</si>
  <si>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</si>
  <si>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</si>
  <si>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</si>
  <si>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</si>
  <si>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</si>
  <si>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</si>
  <si>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</si>
  <si>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</si>
  <si>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</si>
  <si>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</si>
  <si>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</si>
  <si>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</si>
  <si>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</si>
  <si>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</si>
  <si>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</si>
  <si>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</si>
  <si>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</si>
  <si>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</si>
  <si>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</si>
  <si>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</si>
  <si>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</si>
  <si>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</si>
  <si>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</si>
  <si>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</si>
  <si>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</si>
  <si>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</si>
  <si>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</si>
  <si>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</si>
  <si>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</si>
  <si>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</si>
  <si>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</si>
  <si>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</si>
  <si>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</si>
  <si>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</si>
  <si>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</si>
  <si>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</si>
  <si>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</si>
  <si>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</si>
  <si>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</si>
  <si>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</si>
  <si>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</si>
  <si>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</si>
  <si>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</si>
  <si>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</si>
  <si>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</si>
  <si>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</si>
  <si>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</si>
  <si>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</si>
  <si>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</si>
  <si>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</si>
  <si>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</si>
  <si>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</si>
  <si>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</si>
  <si>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</si>
  <si>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</si>
  <si>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</si>
  <si>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</si>
  <si>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</si>
  <si>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</si>
  <si>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</si>
  <si>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</si>
  <si>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</si>
  <si>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</si>
  <si>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</si>
  <si>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</si>
  <si>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</si>
  <si>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</si>
  <si>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</si>
  <si>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</si>
  <si>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</si>
  <si>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</si>
  <si>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</si>
  <si>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</si>
  <si>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</si>
  <si>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</si>
  <si>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</si>
  <si>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</si>
  <si>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</si>
  <si>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</si>
  <si>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</si>
  <si>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</si>
  <si>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</si>
  <si>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</si>
  <si>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</si>
  <si>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</si>
  <si>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</si>
  <si>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</si>
  <si>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</si>
  <si>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</si>
  <si>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</si>
  <si>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</si>
  <si>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</si>
  <si>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</si>
  <si>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</si>
  <si>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</si>
  <si>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</si>
  <si>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</si>
  <si>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</si>
  <si>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</si>
  <si>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</si>
  <si>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</si>
  <si>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</si>
  <si>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</si>
  <si>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</si>
  <si>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</si>
  <si>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</si>
  <si>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</si>
  <si>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</si>
  <si>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</si>
  <si>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</si>
  <si>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</si>
  <si>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</si>
  <si>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</si>
  <si>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</si>
  <si>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</si>
  <si>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</si>
  <si>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</si>
  <si>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</si>
  <si>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</si>
  <si>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</si>
  <si>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</si>
  <si>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</si>
  <si>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</si>
  <si>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</si>
  <si>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</si>
  <si>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</si>
  <si>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</si>
  <si>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</si>
  <si>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</si>
  <si>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</si>
  <si>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</si>
  <si>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</si>
  <si>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</si>
  <si>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</si>
  <si>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</si>
  <si>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</si>
  <si>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</si>
  <si>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</si>
  <si>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</si>
  <si>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</si>
  <si>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</si>
  <si>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</si>
  <si>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</si>
  <si>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</si>
  <si>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</si>
  <si>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</si>
  <si>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</si>
  <si>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</si>
  <si>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</si>
  <si>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</si>
  <si>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</si>
  <si>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</si>
  <si>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</si>
  <si>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</si>
  <si>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</si>
  <si>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</si>
  <si>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</si>
  <si>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</si>
  <si>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</si>
  <si>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</si>
  <si>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</si>
  <si>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</si>
  <si>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</si>
  <si>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</si>
  <si>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</si>
  <si>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</si>
  <si>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</si>
  <si>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</si>
  <si>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</si>
  <si>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</si>
  <si>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</si>
  <si>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</si>
  <si>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</si>
  <si>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</si>
  <si>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</si>
  <si>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</si>
  <si>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</si>
  <si>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</si>
  <si>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</si>
  <si>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</si>
  <si>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</si>
  <si>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</si>
  <si>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</si>
  <si>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</si>
  <si>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</si>
  <si>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</si>
  <si>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</si>
  <si>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</si>
  <si>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</si>
  <si>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</si>
  <si>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</si>
  <si>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</si>
  <si>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</si>
  <si>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</si>
  <si>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</si>
  <si>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</si>
  <si>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</si>
  <si>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</si>
  <si>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</si>
  <si>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</si>
  <si>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</si>
  <si>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</si>
  <si>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</si>
  <si>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</si>
  <si>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</si>
  <si>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</si>
  <si>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</si>
  <si>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</si>
  <si>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</si>
  <si>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</si>
  <si>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</si>
  <si>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</si>
  <si>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</si>
  <si>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</si>
  <si>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</si>
  <si>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</si>
  <si>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</si>
  <si>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</si>
  <si>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</si>
  <si>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</si>
  <si>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</si>
  <si>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</si>
  <si>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</si>
  <si>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</si>
  <si>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</si>
  <si>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</si>
  <si>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</si>
  <si>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</si>
  <si>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</si>
  <si>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</si>
  <si>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</si>
  <si>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</si>
  <si>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</si>
  <si>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</si>
  <si>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</si>
  <si>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</si>
  <si>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</si>
  <si>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</si>
  <si>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</si>
  <si>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</si>
  <si>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</si>
  <si>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</si>
  <si>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</si>
  <si>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</si>
  <si>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</si>
  <si>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</si>
  <si>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</si>
  <si>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</si>
  <si>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</si>
  <si>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</si>
  <si>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</si>
  <si>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</si>
  <si>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</si>
  <si>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</si>
  <si>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</si>
  <si>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</si>
  <si>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</si>
  <si>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</si>
  <si>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</si>
  <si>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</si>
  <si>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</si>
  <si>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</si>
  <si>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</si>
  <si>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</si>
  <si>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</si>
  <si>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</si>
  <si>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</si>
  <si>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</si>
  <si>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</si>
  <si>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</si>
  <si>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</si>
  <si>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</si>
  <si>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</si>
  <si>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</si>
  <si>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</si>
  <si>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</si>
  <si>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</si>
  <si>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</si>
  <si>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</si>
  <si>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</si>
  <si>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</si>
  <si>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</si>
  <si>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</si>
  <si>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</si>
  <si>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</si>
  <si>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</si>
  <si>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</si>
  <si>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</si>
  <si>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</si>
  <si>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</si>
  <si>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</si>
  <si>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</si>
  <si>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</si>
  <si>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</si>
  <si>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</si>
  <si>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</si>
  <si>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</si>
  <si>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</si>
  <si>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</si>
  <si>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</si>
  <si>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</si>
  <si>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</si>
  <si>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</si>
  <si>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</si>
  <si>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</si>
  <si>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</si>
  <si>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</si>
  <si>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</si>
  <si>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</si>
  <si>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</si>
  <si>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</si>
  <si>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</si>
  <si>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</si>
  <si>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</si>
  <si>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</si>
  <si>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</si>
  <si>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</si>
  <si>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</si>
  <si>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</si>
  <si>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</si>
  <si>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</si>
  <si>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</si>
  <si>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</si>
  <si>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</si>
  <si>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</si>
  <si>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</si>
  <si>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</si>
  <si>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</si>
  <si>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</si>
  <si>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</si>
  <si>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</si>
  <si>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</si>
  <si>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</si>
  <si>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</si>
  <si>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</si>
  <si>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</si>
  <si>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</si>
  <si>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</si>
  <si>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</si>
  <si>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</si>
  <si>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</si>
  <si>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</si>
  <si>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</si>
  <si>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</si>
  <si>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</si>
  <si>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</si>
  <si>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</si>
  <si>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</si>
  <si>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</si>
  <si>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</si>
  <si>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</si>
  <si>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</si>
  <si>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</si>
  <si>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</si>
  <si>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</si>
  <si>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</si>
  <si>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</si>
  <si>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</si>
  <si>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</si>
  <si>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</si>
  <si>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</si>
  <si>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</si>
  <si>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</si>
  <si>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</si>
  <si>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</si>
  <si>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</si>
  <si>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</si>
  <si>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</si>
  <si>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</si>
  <si>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</si>
  <si>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</si>
  <si>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</si>
  <si>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</si>
  <si>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</si>
  <si>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</si>
  <si>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</si>
  <si>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</si>
  <si>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</si>
  <si>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</si>
  <si>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</si>
  <si>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</si>
  <si>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</si>
  <si>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</si>
  <si>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</si>
  <si>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</si>
  <si>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</si>
  <si>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</si>
  <si>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</si>
  <si>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</si>
  <si>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</si>
  <si>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</si>
  <si>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</si>
  <si>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</si>
  <si>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</si>
  <si>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</si>
  <si>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</si>
  <si>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</si>
  <si>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</si>
  <si>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</si>
  <si>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</si>
  <si>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</si>
  <si>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</si>
  <si>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</si>
  <si>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</si>
  <si>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</si>
  <si>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</si>
  <si>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</si>
  <si>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</si>
  <si>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</si>
  <si>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</si>
  <si>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</si>
  <si>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</si>
  <si>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</si>
  <si>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</si>
  <si>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</si>
  <si>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</si>
  <si>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</si>
  <si>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</si>
  <si>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</si>
  <si>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</si>
  <si>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</si>
  <si>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</si>
  <si>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</si>
  <si>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</si>
  <si>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</si>
  <si>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</si>
  <si>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</si>
  <si>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</si>
  <si>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</si>
  <si>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</si>
  <si>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</si>
  <si>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</si>
  <si>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</si>
  <si>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</si>
  <si>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</si>
  <si>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</si>
  <si>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</si>
  <si>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</si>
  <si>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</si>
  <si>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</si>
  <si>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</si>
  <si>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</si>
  <si>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</si>
  <si>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</si>
  <si>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</si>
  <si>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</si>
  <si>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</si>
  <si>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</si>
  <si>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</si>
  <si>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</si>
  <si>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</si>
  <si>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</si>
  <si>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</si>
  <si>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</si>
  <si>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</si>
  <si>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</si>
  <si>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</si>
  <si>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</si>
  <si>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</si>
  <si>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</si>
  <si>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</si>
  <si>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</si>
  <si>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</si>
  <si>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</si>
  <si>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</si>
  <si>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</si>
  <si>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</si>
  <si>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</si>
  <si>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</si>
  <si>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</si>
  <si>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</si>
  <si>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</si>
  <si>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</si>
  <si>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</si>
  <si>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</si>
  <si>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</si>
  <si>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</si>
  <si>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</si>
  <si>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</si>
  <si>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</si>
  <si>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</si>
  <si>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</si>
  <si>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</si>
  <si>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</si>
  <si>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</si>
  <si>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</si>
  <si>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</si>
  <si>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</si>
  <si>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</si>
  <si>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</si>
  <si>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</si>
  <si>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</si>
  <si>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</si>
  <si>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</si>
  <si>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</si>
  <si>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</si>
  <si>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</si>
  <si>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</si>
  <si>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</si>
  <si>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</si>
  <si>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</si>
  <si>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</si>
  <si>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</si>
  <si>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</si>
  <si>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</si>
  <si>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</si>
  <si>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</si>
  <si>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</si>
  <si>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</si>
  <si>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</si>
  <si>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</si>
  <si>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</si>
  <si>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</si>
  <si>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</si>
  <si>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</si>
  <si>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</si>
  <si>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</si>
  <si>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</si>
  <si>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</si>
  <si>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</si>
  <si>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</si>
  <si>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</si>
  <si>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</si>
  <si>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</si>
  <si>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</si>
  <si>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</si>
  <si>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</si>
  <si>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</si>
  <si>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</si>
  <si>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</si>
  <si>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</si>
  <si>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</si>
  <si>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</si>
  <si>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</si>
  <si>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</si>
  <si>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</si>
  <si>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</si>
  <si>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</si>
  <si>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</si>
  <si>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</si>
  <si>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</si>
  <si>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</si>
  <si>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</si>
  <si>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</si>
  <si>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</si>
  <si>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</si>
  <si>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</si>
  <si>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</si>
  <si>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</si>
  <si>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</si>
  <si>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</si>
  <si>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</si>
  <si>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</si>
  <si>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</si>
  <si>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</si>
  <si>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</si>
  <si>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</si>
  <si>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</si>
  <si>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</si>
  <si>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</si>
  <si>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</si>
  <si>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</si>
  <si>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</si>
  <si>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</si>
  <si>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</si>
  <si>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</si>
  <si>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</si>
  <si>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</si>
  <si>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</si>
  <si>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</si>
  <si>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</si>
  <si>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</si>
  <si>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</si>
  <si>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</si>
  <si>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</si>
  <si>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</si>
  <si>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</si>
  <si>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</si>
  <si>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</si>
  <si>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</si>
  <si>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</si>
  <si>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</si>
  <si>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</si>
  <si>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</si>
  <si>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</si>
  <si>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</si>
  <si>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</si>
  <si>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</si>
  <si>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</si>
  <si>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</si>
  <si>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</si>
  <si>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</si>
  <si>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</si>
  <si>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</si>
  <si>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</si>
  <si>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</si>
  <si>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</si>
  <si>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</si>
  <si>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</si>
  <si>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</si>
  <si>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</si>
  <si>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</si>
  <si>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</si>
  <si>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</si>
  <si>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</si>
  <si>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</si>
  <si>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</si>
  <si>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</si>
  <si>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</si>
  <si>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</si>
  <si>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</si>
  <si>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</si>
  <si>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</si>
  <si>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</si>
  <si>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</si>
  <si>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</si>
  <si>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</si>
  <si>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</si>
  <si>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</si>
  <si>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</si>
  <si>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</si>
  <si>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</si>
  <si>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</si>
  <si>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</si>
  <si>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</si>
  <si>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</si>
  <si>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</si>
  <si>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</si>
  <si>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</si>
  <si>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</si>
  <si>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</si>
  <si>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</si>
  <si>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</si>
  <si>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</si>
  <si>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</si>
  <si>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</si>
  <si>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</si>
  <si>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</si>
  <si>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</si>
  <si>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</si>
  <si>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</si>
  <si>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</si>
  <si>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</si>
  <si>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</si>
  <si>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</si>
  <si>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</si>
  <si>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</si>
  <si>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</si>
  <si>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</si>
  <si>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</si>
  <si>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</si>
  <si>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</si>
  <si>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</si>
  <si>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</si>
  <si>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</si>
  <si>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</si>
  <si>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</si>
  <si>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</si>
  <si>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</si>
  <si>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</si>
  <si>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</si>
  <si>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</si>
  <si>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</si>
  <si>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</si>
  <si>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</si>
  <si>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</si>
  <si>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</si>
  <si>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</si>
  <si>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</si>
  <si>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</si>
  <si>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</si>
  <si>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</si>
  <si>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</si>
  <si>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</si>
  <si>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</si>
  <si>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</si>
  <si>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</si>
  <si>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</si>
  <si>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</si>
  <si>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</si>
  <si>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</si>
  <si>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</si>
  <si>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</si>
  <si>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</si>
  <si>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</si>
  <si>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</si>
  <si>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</si>
  <si>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</si>
  <si>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</si>
  <si>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</si>
  <si>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</si>
  <si>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</si>
  <si>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</si>
  <si>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</si>
  <si>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</si>
  <si>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</si>
  <si>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</si>
  <si>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</si>
  <si>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</si>
  <si>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</si>
  <si>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</si>
  <si>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</si>
  <si>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</si>
  <si>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</si>
  <si>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</si>
  <si>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</si>
  <si>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</si>
  <si>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</si>
  <si>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</si>
  <si>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</si>
  <si>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</si>
  <si>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</si>
  <si>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</si>
  <si>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</si>
  <si>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</si>
  <si>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</si>
  <si>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</si>
  <si>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</si>
  <si>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</si>
  <si>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</si>
  <si>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</si>
  <si>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</si>
  <si>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</si>
  <si>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</si>
  <si>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</si>
  <si>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</si>
  <si>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</si>
  <si>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</si>
  <si>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</si>
  <si>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</si>
  <si>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</si>
  <si>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</si>
  <si>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</si>
  <si>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</si>
  <si>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</si>
  <si>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</si>
  <si>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</si>
  <si>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</si>
  <si>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</si>
  <si>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</si>
  <si>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</si>
  <si>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</si>
  <si>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</si>
  <si>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</si>
  <si>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</si>
  <si>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</si>
  <si>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23023</t>
  </si>
  <si>
    <t>GALMAARDEN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</si>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</sst>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80856.367179296387</c:v>
                </c:pt>
                <c:pt idx="1">
                  <c:v>11077.76272795351</c:v>
                </c:pt>
                <c:pt idx="2">
                  <c:v>643.99199999999996</c:v>
                </c:pt>
                <c:pt idx="3">
                  <c:v>3021.8930368399033</c:v>
                </c:pt>
                <c:pt idx="4">
                  <c:v>1964.1066404446742</c:v>
                </c:pt>
                <c:pt idx="5">
                  <c:v>40418.060843559259</c:v>
                </c:pt>
                <c:pt idx="6">
                  <c:v>814.18800458497981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34336"/>
        <c:axId val="183940224"/>
      </c:barChart>
      <c:catAx>
        <c:axId val="183934336"/>
        <c:scaling>
          <c:orientation val="minMax"/>
        </c:scaling>
        <c:axPos val="b"/>
        <c:numFmt formatCode="General" sourceLinked="0"/>
        <c:tickLblPos val="nextTo"/>
        <c:crossAx val="183940224"/>
        <c:crosses val="autoZero"/>
        <c:auto val="1"/>
        <c:lblAlgn val="ctr"/>
        <c:lblOffset val="100"/>
      </c:catAx>
      <c:valAx>
        <c:axId val="183940224"/>
        <c:scaling>
          <c:orientation val="minMax"/>
        </c:scaling>
        <c:axPos val="l"/>
        <c:majorGridlines/>
        <c:numFmt formatCode="#,##0" sourceLinked="1"/>
        <c:tickLblPos val="nextTo"/>
        <c:crossAx val="1839343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80856.367179296387</c:v>
                </c:pt>
                <c:pt idx="1">
                  <c:v>11077.76272795351</c:v>
                </c:pt>
                <c:pt idx="2">
                  <c:v>643.99199999999996</c:v>
                </c:pt>
                <c:pt idx="3">
                  <c:v>3021.8930368399033</c:v>
                </c:pt>
                <c:pt idx="4">
                  <c:v>1964.1066404446742</c:v>
                </c:pt>
                <c:pt idx="5">
                  <c:v>40418.060843559259</c:v>
                </c:pt>
                <c:pt idx="6">
                  <c:v>814.18800458497981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16969.510699537543</c:v>
                </c:pt>
                <c:pt idx="1">
                  <c:v>2209.9288454609032</c:v>
                </c:pt>
                <c:pt idx="2">
                  <c:v>132.11048558606026</c:v>
                </c:pt>
                <c:pt idx="3">
                  <c:v>770.19599974257255</c:v>
                </c:pt>
                <c:pt idx="4">
                  <c:v>384.30551082993799</c:v>
                </c:pt>
                <c:pt idx="5">
                  <c:v>10333.0790492626</c:v>
                </c:pt>
                <c:pt idx="6">
                  <c:v>210.84815903659901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346880"/>
        <c:axId val="184406016"/>
      </c:barChart>
      <c:catAx>
        <c:axId val="184346880"/>
        <c:scaling>
          <c:orientation val="minMax"/>
        </c:scaling>
        <c:axPos val="b"/>
        <c:numFmt formatCode="General" sourceLinked="0"/>
        <c:tickLblPos val="nextTo"/>
        <c:crossAx val="184406016"/>
        <c:crosses val="autoZero"/>
        <c:auto val="1"/>
        <c:lblAlgn val="ctr"/>
        <c:lblOffset val="100"/>
      </c:catAx>
      <c:valAx>
        <c:axId val="184406016"/>
        <c:scaling>
          <c:orientation val="minMax"/>
        </c:scaling>
        <c:axPos val="l"/>
        <c:majorGridlines/>
        <c:numFmt formatCode="#,##0" sourceLinked="1"/>
        <c:tickLblPos val="nextTo"/>
        <c:crossAx val="1843468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16969.510699537543</c:v>
                </c:pt>
                <c:pt idx="1">
                  <c:v>2209.9288454609032</c:v>
                </c:pt>
                <c:pt idx="2">
                  <c:v>132.11048558606026</c:v>
                </c:pt>
                <c:pt idx="3">
                  <c:v>770.19599974257255</c:v>
                </c:pt>
                <c:pt idx="4">
                  <c:v>384.30551082993799</c:v>
                </c:pt>
                <c:pt idx="5">
                  <c:v>10333.0790492626</c:v>
                </c:pt>
                <c:pt idx="6">
                  <c:v>210.84815903659901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23023</v>
      </c>
      <c r="B6" s="415"/>
      <c r="C6" s="416"/>
    </row>
    <row r="7" spans="1:7" s="413" customFormat="1" ht="15.75" customHeight="1">
      <c r="A7" s="417" t="str">
        <f>txtMunicipality</f>
        <v>GALMAARDEN</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23023</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3460</v>
      </c>
      <c r="C9" s="342">
        <v>3711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2240.1799999999998</v>
      </c>
    </row>
    <row r="15" spans="1:6">
      <c r="A15" s="348" t="s">
        <v>184</v>
      </c>
      <c r="B15" s="334">
        <v>19</v>
      </c>
    </row>
    <row r="16" spans="1:6">
      <c r="A16" s="348" t="s">
        <v>6</v>
      </c>
      <c r="B16" s="334">
        <v>731</v>
      </c>
    </row>
    <row r="17" spans="1:6">
      <c r="A17" s="348" t="s">
        <v>7</v>
      </c>
      <c r="B17" s="334">
        <v>639</v>
      </c>
    </row>
    <row r="18" spans="1:6">
      <c r="A18" s="348" t="s">
        <v>8</v>
      </c>
      <c r="B18" s="334">
        <v>871</v>
      </c>
    </row>
    <row r="19" spans="1:6">
      <c r="A19" s="348" t="s">
        <v>9</v>
      </c>
      <c r="B19" s="334">
        <v>796</v>
      </c>
    </row>
    <row r="20" spans="1:6">
      <c r="A20" s="348" t="s">
        <v>10</v>
      </c>
      <c r="B20" s="334">
        <v>610</v>
      </c>
    </row>
    <row r="21" spans="1:6">
      <c r="A21" s="348" t="s">
        <v>11</v>
      </c>
      <c r="B21" s="334">
        <v>375</v>
      </c>
    </row>
    <row r="22" spans="1:6">
      <c r="A22" s="348" t="s">
        <v>12</v>
      </c>
      <c r="B22" s="334">
        <v>728</v>
      </c>
    </row>
    <row r="23" spans="1:6">
      <c r="A23" s="348" t="s">
        <v>13</v>
      </c>
      <c r="B23" s="334">
        <v>20</v>
      </c>
    </row>
    <row r="24" spans="1:6">
      <c r="A24" s="348" t="s">
        <v>14</v>
      </c>
      <c r="B24" s="334">
        <v>1</v>
      </c>
    </row>
    <row r="25" spans="1:6">
      <c r="A25" s="348" t="s">
        <v>15</v>
      </c>
      <c r="B25" s="334">
        <v>63</v>
      </c>
    </row>
    <row r="26" spans="1:6">
      <c r="A26" s="348" t="s">
        <v>16</v>
      </c>
      <c r="B26" s="334">
        <v>132</v>
      </c>
    </row>
    <row r="27" spans="1:6">
      <c r="A27" s="348" t="s">
        <v>17</v>
      </c>
      <c r="B27" s="334">
        <v>0</v>
      </c>
    </row>
    <row r="28" spans="1:6" s="356" customFormat="1">
      <c r="A28" s="355" t="s">
        <v>18</v>
      </c>
      <c r="B28" s="355">
        <v>14396</v>
      </c>
    </row>
    <row r="29" spans="1:6">
      <c r="A29" s="355" t="s">
        <v>849</v>
      </c>
      <c r="B29" s="355">
        <v>86</v>
      </c>
      <c r="C29" s="356"/>
      <c r="D29" s="356"/>
      <c r="E29" s="356"/>
      <c r="F29" s="356"/>
    </row>
    <row r="30" spans="1:6">
      <c r="A30" s="355" t="s">
        <v>850</v>
      </c>
      <c r="B30" s="341">
        <v>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1928</v>
      </c>
    </row>
    <row r="39" spans="1:6">
      <c r="A39" s="348" t="s">
        <v>30</v>
      </c>
      <c r="B39" s="348" t="s">
        <v>31</v>
      </c>
      <c r="C39" s="334">
        <v>974</v>
      </c>
      <c r="D39" s="334">
        <v>15324186</v>
      </c>
      <c r="E39" s="334">
        <v>3459</v>
      </c>
      <c r="F39" s="334">
        <v>14845336</v>
      </c>
    </row>
    <row r="40" spans="1:6">
      <c r="A40" s="348" t="s">
        <v>30</v>
      </c>
      <c r="B40" s="348" t="s">
        <v>29</v>
      </c>
      <c r="C40" s="334">
        <v>0</v>
      </c>
      <c r="D40" s="334">
        <v>0</v>
      </c>
      <c r="E40" s="334">
        <v>0</v>
      </c>
      <c r="F40" s="334">
        <v>0</v>
      </c>
    </row>
    <row r="41" spans="1:6">
      <c r="A41" s="348" t="s">
        <v>32</v>
      </c>
      <c r="B41" s="348" t="s">
        <v>33</v>
      </c>
      <c r="C41" s="334">
        <v>12</v>
      </c>
      <c r="D41" s="334">
        <v>360974</v>
      </c>
      <c r="E41" s="334">
        <v>65</v>
      </c>
      <c r="F41" s="334">
        <v>436581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34338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102679</v>
      </c>
      <c r="E48" s="334">
        <v>3</v>
      </c>
      <c r="F48" s="334">
        <v>32907</v>
      </c>
    </row>
    <row r="49" spans="1:6">
      <c r="A49" s="348" t="s">
        <v>32</v>
      </c>
      <c r="B49" s="348" t="s">
        <v>40</v>
      </c>
      <c r="C49" s="334">
        <v>0</v>
      </c>
      <c r="D49" s="334">
        <v>0</v>
      </c>
      <c r="E49" s="334">
        <v>0</v>
      </c>
      <c r="F49" s="334">
        <v>0</v>
      </c>
    </row>
    <row r="50" spans="1:6">
      <c r="A50" s="348" t="s">
        <v>32</v>
      </c>
      <c r="B50" s="348" t="s">
        <v>41</v>
      </c>
      <c r="C50" s="334">
        <v>0</v>
      </c>
      <c r="D50" s="334">
        <v>0</v>
      </c>
      <c r="E50" s="334">
        <v>8</v>
      </c>
      <c r="F50" s="334">
        <v>236339</v>
      </c>
    </row>
    <row r="51" spans="1:6">
      <c r="A51" s="348" t="s">
        <v>42</v>
      </c>
      <c r="B51" s="348" t="s">
        <v>43</v>
      </c>
      <c r="C51" s="334">
        <v>4</v>
      </c>
      <c r="D51" s="334">
        <v>103757</v>
      </c>
      <c r="E51" s="334">
        <v>52</v>
      </c>
      <c r="F51" s="334">
        <v>606910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643992</v>
      </c>
    </row>
    <row r="56" spans="1:6">
      <c r="A56" s="348" t="s">
        <v>48</v>
      </c>
      <c r="B56" s="348" t="s">
        <v>29</v>
      </c>
      <c r="C56" s="334">
        <v>22</v>
      </c>
      <c r="D56" s="334">
        <v>490248</v>
      </c>
      <c r="E56" s="334">
        <v>43</v>
      </c>
      <c r="F56" s="334">
        <v>221698</v>
      </c>
    </row>
    <row r="57" spans="1:6">
      <c r="A57" s="348" t="s">
        <v>49</v>
      </c>
      <c r="B57" s="348" t="s">
        <v>50</v>
      </c>
      <c r="C57" s="334">
        <v>7</v>
      </c>
      <c r="D57" s="334">
        <v>157429</v>
      </c>
      <c r="E57" s="334">
        <v>35</v>
      </c>
      <c r="F57" s="334">
        <v>775078</v>
      </c>
    </row>
    <row r="58" spans="1:6">
      <c r="A58" s="348" t="s">
        <v>49</v>
      </c>
      <c r="B58" s="348" t="s">
        <v>51</v>
      </c>
      <c r="C58" s="334">
        <v>6</v>
      </c>
      <c r="D58" s="334">
        <v>567840</v>
      </c>
      <c r="E58" s="334">
        <v>21</v>
      </c>
      <c r="F58" s="334">
        <v>600626</v>
      </c>
    </row>
    <row r="59" spans="1:6">
      <c r="A59" s="348" t="s">
        <v>49</v>
      </c>
      <c r="B59" s="348" t="s">
        <v>52</v>
      </c>
      <c r="C59" s="334">
        <v>20</v>
      </c>
      <c r="D59" s="334">
        <v>505544</v>
      </c>
      <c r="E59" s="334">
        <v>92</v>
      </c>
      <c r="F59" s="334">
        <v>1970219</v>
      </c>
    </row>
    <row r="60" spans="1:6">
      <c r="A60" s="348" t="s">
        <v>49</v>
      </c>
      <c r="B60" s="348" t="s">
        <v>53</v>
      </c>
      <c r="C60" s="334">
        <v>12</v>
      </c>
      <c r="D60" s="334">
        <v>403184</v>
      </c>
      <c r="E60" s="334">
        <v>33</v>
      </c>
      <c r="F60" s="334">
        <v>446673</v>
      </c>
    </row>
    <row r="61" spans="1:6">
      <c r="A61" s="348" t="s">
        <v>49</v>
      </c>
      <c r="B61" s="348" t="s">
        <v>54</v>
      </c>
      <c r="C61" s="334">
        <v>42</v>
      </c>
      <c r="D61" s="334">
        <v>2761663</v>
      </c>
      <c r="E61" s="334">
        <v>149</v>
      </c>
      <c r="F61" s="334">
        <v>1355743</v>
      </c>
    </row>
    <row r="62" spans="1:6">
      <c r="A62" s="348" t="s">
        <v>49</v>
      </c>
      <c r="B62" s="348" t="s">
        <v>55</v>
      </c>
      <c r="C62" s="334">
        <v>0</v>
      </c>
      <c r="D62" s="334">
        <v>0</v>
      </c>
      <c r="E62" s="334">
        <v>3</v>
      </c>
      <c r="F62" s="334">
        <v>15949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4303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31811117</v>
      </c>
      <c r="E73" s="476">
        <v>33105397.450773451</v>
      </c>
    </row>
    <row r="74" spans="1:6">
      <c r="A74" s="348" t="s">
        <v>64</v>
      </c>
      <c r="B74" s="348" t="s">
        <v>667</v>
      </c>
      <c r="C74" s="1271" t="s">
        <v>669</v>
      </c>
      <c r="D74" s="476">
        <v>3028137.1009325637</v>
      </c>
      <c r="E74" s="476">
        <v>3065231.4646604173</v>
      </c>
    </row>
    <row r="75" spans="1:6">
      <c r="A75" s="348" t="s">
        <v>65</v>
      </c>
      <c r="B75" s="348" t="s">
        <v>666</v>
      </c>
      <c r="C75" s="1271" t="s">
        <v>670</v>
      </c>
      <c r="D75" s="476">
        <v>13924906</v>
      </c>
      <c r="E75" s="476">
        <v>14633176.776915306</v>
      </c>
    </row>
    <row r="76" spans="1:6">
      <c r="A76" s="348" t="s">
        <v>65</v>
      </c>
      <c r="B76" s="348" t="s">
        <v>667</v>
      </c>
      <c r="C76" s="1271" t="s">
        <v>671</v>
      </c>
      <c r="D76" s="476">
        <v>246552.10093256374</v>
      </c>
      <c r="E76" s="476">
        <v>254498.63211766179</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218679.79813487252</v>
      </c>
      <c r="C83" s="476">
        <v>218679.79813487252</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1620.4160555486219</v>
      </c>
    </row>
    <row r="92" spans="1:6">
      <c r="A92" s="341" t="s">
        <v>69</v>
      </c>
      <c r="B92" s="342">
        <v>75.188326861693099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168</v>
      </c>
    </row>
    <row r="98" spans="1:6">
      <c r="A98" s="348" t="s">
        <v>72</v>
      </c>
      <c r="B98" s="334">
        <v>2</v>
      </c>
    </row>
    <row r="99" spans="1:6">
      <c r="A99" s="348" t="s">
        <v>73</v>
      </c>
      <c r="B99" s="334">
        <v>105</v>
      </c>
    </row>
    <row r="100" spans="1:6">
      <c r="A100" s="348" t="s">
        <v>74</v>
      </c>
      <c r="B100" s="334">
        <v>325</v>
      </c>
    </row>
    <row r="101" spans="1:6">
      <c r="A101" s="348" t="s">
        <v>75</v>
      </c>
      <c r="B101" s="334">
        <v>72</v>
      </c>
    </row>
    <row r="102" spans="1:6">
      <c r="A102" s="348" t="s">
        <v>76</v>
      </c>
      <c r="B102" s="334">
        <v>36</v>
      </c>
    </row>
    <row r="103" spans="1:6">
      <c r="A103" s="348" t="s">
        <v>77</v>
      </c>
      <c r="B103" s="334">
        <v>129</v>
      </c>
    </row>
    <row r="104" spans="1:6">
      <c r="A104" s="348" t="s">
        <v>78</v>
      </c>
      <c r="B104" s="334">
        <v>2144</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56</v>
      </c>
    </row>
    <row r="130" spans="1:6">
      <c r="A130" s="348" t="s">
        <v>295</v>
      </c>
      <c r="B130" s="334">
        <v>2</v>
      </c>
    </row>
    <row r="131" spans="1:6">
      <c r="A131" s="348" t="s">
        <v>296</v>
      </c>
      <c r="B131" s="334">
        <v>0</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23631.824617598788</v>
      </c>
      <c r="C3" s="43" t="s">
        <v>170</v>
      </c>
      <c r="D3" s="43"/>
      <c r="E3" s="154"/>
      <c r="F3" s="43"/>
      <c r="G3" s="43"/>
      <c r="H3" s="43"/>
      <c r="I3" s="43"/>
      <c r="J3" s="43"/>
      <c r="K3" s="96"/>
    </row>
    <row r="4" spans="1:11">
      <c r="A4" s="383" t="s">
        <v>171</v>
      </c>
      <c r="B4" s="49">
        <f>IF(ISERROR('SEAP template'!B69),0,'SEAP template'!B69)</f>
        <v>1695.6043824103149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0.20514305392933493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643.99199999999996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643.99199999999996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0.20514305392933493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132.11048558606026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14845.335999999999</v>
      </c>
      <c r="C5" s="17">
        <f>IF(ISERROR('Eigen informatie GS &amp; warmtenet'!B57),0,'Eigen informatie GS &amp; warmtenet'!B57)</f>
        <v>0</v>
      </c>
      <c r="D5" s="30">
        <f>(SUM(HH_hh_gas_kWh,HH_rest_gas_kWh)/1000)*0.902</f>
        <v>13822.415772</v>
      </c>
      <c r="E5" s="17">
        <f>B46*B57</f>
        <v>4622.023942552667</v>
      </c>
      <c r="F5" s="17">
        <f>B51*B62</f>
        <v>34531.779860508563</v>
      </c>
      <c r="G5" s="18"/>
      <c r="H5" s="17"/>
      <c r="I5" s="17"/>
      <c r="J5" s="17">
        <f>B50*B61+C50*C61</f>
        <v>1498.2016778526327</v>
      </c>
      <c r="K5" s="17"/>
      <c r="L5" s="17"/>
      <c r="M5" s="17"/>
      <c r="N5" s="17">
        <f>B48*B59+C48*C59</f>
        <v>9001.2705375005662</v>
      </c>
      <c r="O5" s="17">
        <f>B69*B70*B71</f>
        <v>114.12333333333335</v>
      </c>
      <c r="P5" s="17">
        <f>B77*B78*B79/1000-B77*B78*B79/1000/B80</f>
        <v>800.8</v>
      </c>
    </row>
    <row r="6" spans="1:16">
      <c r="A6" s="16" t="s">
        <v>624</v>
      </c>
      <c r="B6" s="843">
        <f>kWh_PV_kleiner_dan_10kW</f>
        <v>1620.4160555486219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16465.752055548623</v>
      </c>
      <c r="C8" s="21">
        <f>C5</f>
        <v>0</v>
      </c>
      <c r="D8" s="21">
        <f>D5</f>
        <v>13822.415772</v>
      </c>
      <c r="E8" s="21">
        <f>E5</f>
        <v>4622.023942552667</v>
      </c>
      <c r="F8" s="21">
        <f>F5</f>
        <v>34531.779860508563</v>
      </c>
      <c r="G8" s="21"/>
      <c r="H8" s="21"/>
      <c r="I8" s="21"/>
      <c r="J8" s="21">
        <f>J5</f>
        <v>1498.2016778526327</v>
      </c>
      <c r="K8" s="21"/>
      <c r="L8" s="21">
        <f>L5</f>
        <v>0</v>
      </c>
      <c r="M8" s="21">
        <f>M5</f>
        <v>0</v>
      </c>
      <c r="N8" s="21">
        <f>N5</f>
        <v>9001.2705375005662</v>
      </c>
      <c r="O8" s="21">
        <f>O5</f>
        <v>114.12333333333335</v>
      </c>
      <c r="P8" s="21">
        <f>P5</f>
        <v>800.8</v>
      </c>
    </row>
    <row r="9" spans="1:16">
      <c r="B9" s="19"/>
      <c r="C9" s="19"/>
      <c r="D9" s="258"/>
      <c r="E9" s="19"/>
      <c r="F9" s="19"/>
      <c r="G9" s="19"/>
      <c r="H9" s="19"/>
      <c r="I9" s="19"/>
      <c r="J9" s="19"/>
      <c r="K9" s="19"/>
      <c r="L9" s="19"/>
      <c r="M9" s="19"/>
      <c r="N9" s="19"/>
      <c r="O9" s="19"/>
      <c r="P9" s="19"/>
    </row>
    <row r="10" spans="1:16">
      <c r="A10" s="24" t="s">
        <v>214</v>
      </c>
      <c r="B10" s="25">
        <f ca="1">'EF ele_warmte'!B12</f>
        <v>0.20514305392933493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3377.8346619184686</v>
      </c>
      <c r="C12" s="23">
        <f ca="1">C10*C8</f>
        <v>0</v>
      </c>
      <c r="D12" s="23">
        <f>D8*D10</f>
        <v>2792.1279859440001</v>
      </c>
      <c r="E12" s="23">
        <f>E10*E8</f>
        <v>1049.1994349594554</v>
      </c>
      <c r="F12" s="23">
        <f>F10*F8</f>
        <v>9219.9852227557876</v>
      </c>
      <c r="G12" s="23"/>
      <c r="H12" s="23"/>
      <c r="I12" s="23"/>
      <c r="J12" s="23">
        <f>J10*J8</f>
        <v>530.36339395983191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168</v>
      </c>
      <c r="C18" s="166" t="s">
        <v>111</v>
      </c>
      <c r="D18" s="228"/>
      <c r="E18" s="15"/>
    </row>
    <row r="19" spans="1:7">
      <c r="A19" s="171" t="s">
        <v>72</v>
      </c>
      <c r="B19" s="37">
        <f>aantalw2001_ander</f>
        <v>2</v>
      </c>
      <c r="C19" s="166" t="s">
        <v>111</v>
      </c>
      <c r="D19" s="229"/>
      <c r="E19" s="15"/>
    </row>
    <row r="20" spans="1:7">
      <c r="A20" s="171" t="s">
        <v>73</v>
      </c>
      <c r="B20" s="37">
        <f>aantalw2001_propaan</f>
        <v>105</v>
      </c>
      <c r="C20" s="167">
        <f>IF(ISERROR(B20/SUM($B$20,$B$21,$B$22)*100),0,B20/SUM($B$20,$B$21,$B$22)*100)</f>
        <v>20.916334661354583</v>
      </c>
      <c r="D20" s="229"/>
      <c r="E20" s="15"/>
    </row>
    <row r="21" spans="1:7">
      <c r="A21" s="171" t="s">
        <v>74</v>
      </c>
      <c r="B21" s="37">
        <f>aantalw2001_elektriciteit</f>
        <v>325</v>
      </c>
      <c r="C21" s="167">
        <f>IF(ISERROR(B21/SUM($B$20,$B$21,$B$22)*100),0,B21/SUM($B$20,$B$21,$B$22)*100)</f>
        <v>64.741035856573703</v>
      </c>
      <c r="D21" s="229"/>
      <c r="E21" s="15"/>
    </row>
    <row r="22" spans="1:7">
      <c r="A22" s="171" t="s">
        <v>75</v>
      </c>
      <c r="B22" s="37">
        <f>aantalw2001_hout</f>
        <v>72</v>
      </c>
      <c r="C22" s="167">
        <f>IF(ISERROR(B22/SUM($B$20,$B$21,$B$22)*100),0,B22/SUM($B$20,$B$21,$B$22)*100)</f>
        <v>14.342629482071715</v>
      </c>
      <c r="D22" s="229"/>
      <c r="E22" s="15"/>
    </row>
    <row r="23" spans="1:7">
      <c r="A23" s="171" t="s">
        <v>76</v>
      </c>
      <c r="B23" s="37">
        <f>aantalw2001_niet_gespec</f>
        <v>36</v>
      </c>
      <c r="C23" s="166" t="s">
        <v>111</v>
      </c>
      <c r="D23" s="228"/>
      <c r="E23" s="15"/>
    </row>
    <row r="24" spans="1:7">
      <c r="A24" s="171" t="s">
        <v>77</v>
      </c>
      <c r="B24" s="37">
        <f>aantalw2001_steenkool</f>
        <v>129</v>
      </c>
      <c r="C24" s="166" t="s">
        <v>111</v>
      </c>
      <c r="D24" s="229"/>
      <c r="E24" s="15"/>
    </row>
    <row r="25" spans="1:7">
      <c r="A25" s="171" t="s">
        <v>78</v>
      </c>
      <c r="B25" s="37">
        <f>aantalw2001_stookolie</f>
        <v>2144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3460</v>
      </c>
      <c r="C28" s="36"/>
      <c r="D28" s="228"/>
    </row>
    <row r="29" spans="1:7" s="15" customFormat="1">
      <c r="A29" s="230" t="s">
        <v>699</v>
      </c>
      <c r="B29" s="37">
        <f>SUM(HH_hh_gas_aantal,HH_rest_gas_aantal)</f>
        <v>974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974</v>
      </c>
      <c r="C32" s="167">
        <f>IF(ISERROR(B32/SUM($B$32,$B$34,$B$35,$B$36,$B$38,$B$39)*100),0,B32/SUM($B$32,$B$34,$B$35,$B$36,$B$38,$B$39)*100)</f>
        <v>28.496196606202457</v>
      </c>
      <c r="D32" s="233"/>
      <c r="G32" s="15"/>
    </row>
    <row r="33" spans="1:7">
      <c r="A33" s="171" t="s">
        <v>72</v>
      </c>
      <c r="B33" s="34" t="s">
        <v>111</v>
      </c>
      <c r="C33" s="167"/>
      <c r="D33" s="233"/>
      <c r="G33" s="15"/>
    </row>
    <row r="34" spans="1:7">
      <c r="A34" s="171" t="s">
        <v>73</v>
      </c>
      <c r="B34" s="33">
        <f>IF((($B$28-$B$32-$B$39-$B$77-$B$38)*C20/100)&lt;0,0,($B$28-$B$32-$B$39-$B$77-$B$38)*C20/100)</f>
        <v>204.35258964143429</v>
      </c>
      <c r="C34" s="167">
        <f>IF(ISERROR(B34/SUM($B$32,$B$34,$B$35,$B$36,$B$38,$B$39)*100),0,B34/SUM($B$32,$B$34,$B$35,$B$36,$B$38,$B$39)*100)</f>
        <v>5.9787182457997163</v>
      </c>
      <c r="D34" s="233"/>
      <c r="G34" s="15"/>
    </row>
    <row r="35" spans="1:7">
      <c r="A35" s="171" t="s">
        <v>74</v>
      </c>
      <c r="B35" s="33">
        <f>IF((($B$28-$B$32-$B$39-$B$77-$B$38)*C21/100)&lt;0,0,($B$28-$B$32-$B$39-$B$77-$B$38)*C21/100)</f>
        <v>632.5199203187251</v>
      </c>
      <c r="C35" s="167">
        <f>IF(ISERROR(B35/SUM($B$32,$B$34,$B$35,$B$36,$B$38,$B$39)*100),0,B35/SUM($B$32,$B$34,$B$35,$B$36,$B$38,$B$39)*100)</f>
        <v>18.505556475094355</v>
      </c>
      <c r="D35" s="233"/>
      <c r="G35" s="15"/>
    </row>
    <row r="36" spans="1:7">
      <c r="A36" s="171" t="s">
        <v>75</v>
      </c>
      <c r="B36" s="33">
        <f>IF((($B$28-$B$32-$B$39-$B$77-$B$38)*C22/100)&lt;0,0,($B$28-$B$32-$B$39-$B$77-$B$38)*C22/100)</f>
        <v>140.12749003984067</v>
      </c>
      <c r="C36" s="167">
        <f>IF(ISERROR(B36/SUM($B$32,$B$34,$B$35,$B$36,$B$38,$B$39)*100),0,B36/SUM($B$32,$B$34,$B$35,$B$36,$B$38,$B$39)*100)</f>
        <v>4.0996925114055198</v>
      </c>
      <c r="D36" s="233"/>
      <c r="G36" s="15"/>
    </row>
    <row r="37" spans="1:7">
      <c r="A37" s="171" t="s">
        <v>76</v>
      </c>
      <c r="B37" s="34" t="s">
        <v>111</v>
      </c>
      <c r="C37" s="167"/>
      <c r="D37" s="173"/>
      <c r="G37" s="15"/>
    </row>
    <row r="38" spans="1:7">
      <c r="A38" s="171" t="s">
        <v>77</v>
      </c>
      <c r="B38" s="33">
        <f>IF((B24-(B29-B18)*0.1)&lt;0,0,B24-(B29-B18)*0.1)</f>
        <v>48.399999999999991</v>
      </c>
      <c r="C38" s="167">
        <f>IF(ISERROR(B38/SUM($B$32,$B$34,$B$35,$B$36,$B$38,$B$39)*100),0,B38/SUM($B$32,$B$34,$B$35,$B$36,$B$38,$B$39)*100)</f>
        <v>1.4160327677004094</v>
      </c>
      <c r="D38" s="234"/>
      <c r="G38" s="15"/>
    </row>
    <row r="39" spans="1:7">
      <c r="A39" s="171" t="s">
        <v>78</v>
      </c>
      <c r="B39" s="33">
        <f>IF((B25-(B29-B18))&lt;0,0,B25-(B29-B18)*0.9)</f>
        <v>1418.6</v>
      </c>
      <c r="C39" s="167">
        <f>IF(ISERROR(B39/SUM($B$32,$B$34,$B$35,$B$36,$B$38,$B$39)*100),0,B39/SUM($B$32,$B$34,$B$35,$B$36,$B$38,$B$39)*100)</f>
        <v>41.50380339379754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974</v>
      </c>
      <c r="C44" s="34" t="s">
        <v>111</v>
      </c>
      <c r="D44" s="174"/>
    </row>
    <row r="45" spans="1:7">
      <c r="A45" s="171" t="s">
        <v>72</v>
      </c>
      <c r="B45" s="33" t="str">
        <f t="shared" si="0"/>
        <v>-</v>
      </c>
      <c r="C45" s="34" t="s">
        <v>111</v>
      </c>
      <c r="D45" s="174"/>
    </row>
    <row r="46" spans="1:7">
      <c r="A46" s="171" t="s">
        <v>73</v>
      </c>
      <c r="B46" s="33">
        <f t="shared" si="0"/>
        <v>204.35258964143429</v>
      </c>
      <c r="C46" s="34" t="s">
        <v>111</v>
      </c>
      <c r="D46" s="174"/>
    </row>
    <row r="47" spans="1:7">
      <c r="A47" s="171" t="s">
        <v>74</v>
      </c>
      <c r="B47" s="33">
        <f t="shared" si="0"/>
        <v>632.5199203187251</v>
      </c>
      <c r="C47" s="34" t="s">
        <v>111</v>
      </c>
      <c r="D47" s="174"/>
    </row>
    <row r="48" spans="1:7">
      <c r="A48" s="171" t="s">
        <v>75</v>
      </c>
      <c r="B48" s="33">
        <f t="shared" si="0"/>
        <v>140.12749003984067</v>
      </c>
      <c r="C48" s="33">
        <f>B48*10</f>
        <v>1401.2749003984068</v>
      </c>
      <c r="D48" s="234"/>
    </row>
    <row r="49" spans="1:6">
      <c r="A49" s="171" t="s">
        <v>76</v>
      </c>
      <c r="B49" s="33" t="str">
        <f t="shared" si="0"/>
        <v>-</v>
      </c>
      <c r="C49" s="34" t="s">
        <v>111</v>
      </c>
      <c r="D49" s="234"/>
    </row>
    <row r="50" spans="1:6">
      <c r="A50" s="171" t="s">
        <v>77</v>
      </c>
      <c r="B50" s="33">
        <f t="shared" si="0"/>
        <v>48.399999999999991</v>
      </c>
      <c r="C50" s="33">
        <f>B50*2</f>
        <v>96.799999999999983</v>
      </c>
      <c r="D50" s="234"/>
    </row>
    <row r="51" spans="1:6">
      <c r="A51" s="171" t="s">
        <v>78</v>
      </c>
      <c r="B51" s="33">
        <f t="shared" si="0"/>
        <v>1418.6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5164.2879999999996</v>
      </c>
      <c r="C5" s="17">
        <f>IF(ISERROR('Eigen informatie GS &amp; warmtenet'!B58),0,'Eigen informatie GS &amp; warmtenet'!B58)</f>
        <v>0</v>
      </c>
      <c r="D5" s="30">
        <f>SUM(D6:D12)</f>
        <v>3964.8853200000003</v>
      </c>
      <c r="E5" s="17">
        <f>SUM(E6:E12)</f>
        <v>95.984147492294795</v>
      </c>
      <c r="F5" s="17">
        <f>SUM(F6:F12)</f>
        <v>1227.7745230319661</v>
      </c>
      <c r="G5" s="18"/>
      <c r="H5" s="17"/>
      <c r="I5" s="17"/>
      <c r="J5" s="17">
        <f>SUM(J6:J12)</f>
        <v>0</v>
      </c>
      <c r="K5" s="17"/>
      <c r="L5" s="17"/>
      <c r="M5" s="17"/>
      <c r="N5" s="17">
        <f>SUM(N6:N12)</f>
        <v>621.70407076258368</v>
      </c>
      <c r="O5" s="17">
        <f>B38*B39*B40</f>
        <v>3.1266666666666669</v>
      </c>
      <c r="P5" s="17">
        <f>B46*B47*B48/1000-B46*B47*B48/1000/B49</f>
        <v>0</v>
      </c>
      <c r="R5" s="32"/>
    </row>
    <row r="6" spans="1:18">
      <c r="A6" s="32" t="s">
        <v>54</v>
      </c>
      <c r="B6" s="37">
        <f>B26</f>
        <v>1355.7429999999999</v>
      </c>
      <c r="C6" s="33"/>
      <c r="D6" s="37">
        <f>IF(ISERROR(TER_kantoor_gas_kWh/1000),0,TER_kantoor_gas_kWh/1000)*0.902</f>
        <v>2491.0200260000001</v>
      </c>
      <c r="E6" s="33">
        <f>$C$26*'E Balans VL '!I12/100/3.6*1000000</f>
        <v>17.748345903214464</v>
      </c>
      <c r="F6" s="33">
        <f>$C$26*('E Balans VL '!L12+'E Balans VL '!N12)/100/3.6*1000000</f>
        <v>345.70045527516987</v>
      </c>
      <c r="G6" s="34"/>
      <c r="H6" s="33"/>
      <c r="I6" s="33"/>
      <c r="J6" s="33">
        <f>$C$26*('E Balans VL '!D12+'E Balans VL '!E12)/100/3.6*1000000</f>
        <v>0</v>
      </c>
      <c r="K6" s="33"/>
      <c r="L6" s="33"/>
      <c r="M6" s="33"/>
      <c r="N6" s="33">
        <f>$C$26*'E Balans VL '!Y12/100/3.6*1000000</f>
        <v>1.3603083919350965</v>
      </c>
      <c r="O6" s="33"/>
      <c r="P6" s="33"/>
      <c r="R6" s="32"/>
    </row>
    <row r="7" spans="1:18">
      <c r="A7" s="32" t="s">
        <v>53</v>
      </c>
      <c r="B7" s="37">
        <f t="shared" ref="B7:B12" si="0">B27</f>
        <v>446.673</v>
      </c>
      <c r="C7" s="33"/>
      <c r="D7" s="37">
        <f>IF(ISERROR(TER_horeca_gas_kWh/1000),0,TER_horeca_gas_kWh/1000)*0.902</f>
        <v>363.67196800000005</v>
      </c>
      <c r="E7" s="33">
        <f>$C$27*'E Balans VL '!I9/100/3.6*1000000</f>
        <v>14.782159279286017</v>
      </c>
      <c r="F7" s="33">
        <f>$C$27*('E Balans VL '!L9+'E Balans VL '!N9)/100/3.6*1000000</f>
        <v>192.06767814170962</v>
      </c>
      <c r="G7" s="34"/>
      <c r="H7" s="33"/>
      <c r="I7" s="33"/>
      <c r="J7" s="33">
        <f>$C$27*('E Balans VL '!D9+'E Balans VL '!E9)/100/3.6*1000000</f>
        <v>0</v>
      </c>
      <c r="K7" s="33"/>
      <c r="L7" s="33"/>
      <c r="M7" s="33"/>
      <c r="N7" s="33">
        <f>$C$27*'E Balans VL '!Y9/100/3.6*1000000</f>
        <v>0.10752067750378366</v>
      </c>
      <c r="O7" s="33"/>
      <c r="P7" s="33"/>
      <c r="R7" s="32"/>
    </row>
    <row r="8" spans="1:18">
      <c r="A8" s="6" t="s">
        <v>52</v>
      </c>
      <c r="B8" s="37">
        <f t="shared" si="0"/>
        <v>1970.2190000000001</v>
      </c>
      <c r="C8" s="33"/>
      <c r="D8" s="37">
        <f>IF(ISERROR(TER_handel_gas_kWh/1000),0,TER_handel_gas_kWh/1000)*0.902</f>
        <v>456.00068799999997</v>
      </c>
      <c r="E8" s="33">
        <f>$C$28*'E Balans VL '!I13/100/3.6*1000000</f>
        <v>62.183122045022522</v>
      </c>
      <c r="F8" s="33">
        <f>$C$28*('E Balans VL '!L13+'E Balans VL '!N13)/100/3.6*1000000</f>
        <v>386.39463930263264</v>
      </c>
      <c r="G8" s="34"/>
      <c r="H8" s="33"/>
      <c r="I8" s="33"/>
      <c r="J8" s="33">
        <f>$C$28*('E Balans VL '!D13+'E Balans VL '!E13)/100/3.6*1000000</f>
        <v>0</v>
      </c>
      <c r="K8" s="33"/>
      <c r="L8" s="33"/>
      <c r="M8" s="33"/>
      <c r="N8" s="33">
        <f>$C$28*'E Balans VL '!Y13/100/3.6*1000000</f>
        <v>2.338267439677062</v>
      </c>
      <c r="O8" s="33"/>
      <c r="P8" s="33"/>
      <c r="R8" s="32"/>
    </row>
    <row r="9" spans="1:18">
      <c r="A9" s="32" t="s">
        <v>51</v>
      </c>
      <c r="B9" s="37">
        <f t="shared" si="0"/>
        <v>600.62599999999998</v>
      </c>
      <c r="C9" s="33"/>
      <c r="D9" s="37">
        <f>IF(ISERROR(TER_gezond_gas_kWh/1000),0,TER_gezond_gas_kWh/1000)*0.902</f>
        <v>512.19168000000002</v>
      </c>
      <c r="E9" s="33">
        <f>$C$29*'E Balans VL '!I10/100/3.6*1000000</f>
        <v>7.6897698923764135E-2</v>
      </c>
      <c r="F9" s="33">
        <f>$C$29*('E Balans VL '!L10+'E Balans VL '!N10)/100/3.6*1000000</f>
        <v>125.13557034274022</v>
      </c>
      <c r="G9" s="34"/>
      <c r="H9" s="33"/>
      <c r="I9" s="33"/>
      <c r="J9" s="33">
        <f>$C$29*('E Balans VL '!D10+'E Balans VL '!E10)/100/3.6*1000000</f>
        <v>0</v>
      </c>
      <c r="K9" s="33"/>
      <c r="L9" s="33"/>
      <c r="M9" s="33"/>
      <c r="N9" s="33">
        <f>$C$29*'E Balans VL '!Y10/100/3.6*1000000</f>
        <v>7.054636263169848</v>
      </c>
      <c r="O9" s="33"/>
      <c r="P9" s="33"/>
      <c r="R9" s="32"/>
    </row>
    <row r="10" spans="1:18">
      <c r="A10" s="32" t="s">
        <v>50</v>
      </c>
      <c r="B10" s="37">
        <f t="shared" si="0"/>
        <v>775.07799999999997</v>
      </c>
      <c r="C10" s="33"/>
      <c r="D10" s="37">
        <f>IF(ISERROR(TER_ander_gas_kWh/1000),0,TER_ander_gas_kWh/1000)*0.902</f>
        <v>142.000958</v>
      </c>
      <c r="E10" s="33">
        <f>$C$30*'E Balans VL '!I14/100/3.6*1000000</f>
        <v>1.1655350403264455</v>
      </c>
      <c r="F10" s="33">
        <f>$C$30*('E Balans VL '!L14+'E Balans VL '!N14)/100/3.6*1000000</f>
        <v>171.11223807303608</v>
      </c>
      <c r="G10" s="34"/>
      <c r="H10" s="33"/>
      <c r="I10" s="33"/>
      <c r="J10" s="33">
        <f>$C$30*('E Balans VL '!D14+'E Balans VL '!E14)/100/3.6*1000000</f>
        <v>0</v>
      </c>
      <c r="K10" s="33"/>
      <c r="L10" s="33"/>
      <c r="M10" s="33"/>
      <c r="N10" s="33">
        <f>$C$30*'E Balans VL '!Y14/100/3.6*1000000</f>
        <v>610.81362478274264</v>
      </c>
      <c r="O10" s="33"/>
      <c r="P10" s="33"/>
      <c r="R10" s="32"/>
    </row>
    <row r="11" spans="1:18">
      <c r="A11" s="32" t="s">
        <v>55</v>
      </c>
      <c r="B11" s="37">
        <f t="shared" si="0"/>
        <v>15.949</v>
      </c>
      <c r="C11" s="33"/>
      <c r="D11" s="37">
        <f>IF(ISERROR(TER_onderwijs_gas_kWh/1000),0,TER_onderwijs_gas_kWh/1000)*0.902</f>
        <v>0</v>
      </c>
      <c r="E11" s="33">
        <f>$C$31*'E Balans VL '!I11/100/3.6*1000000</f>
        <v>2.8087525521580132E-2</v>
      </c>
      <c r="F11" s="33">
        <f>$C$31*('E Balans VL '!L11+'E Balans VL '!N11)/100/3.6*1000000</f>
        <v>7.363941896677682</v>
      </c>
      <c r="G11" s="34"/>
      <c r="H11" s="33"/>
      <c r="I11" s="33"/>
      <c r="J11" s="33">
        <f>$C$31*('E Balans VL '!D11+'E Balans VL '!E11)/100/3.6*1000000</f>
        <v>0</v>
      </c>
      <c r="K11" s="33"/>
      <c r="L11" s="33"/>
      <c r="M11" s="33"/>
      <c r="N11" s="33">
        <f>$C$31*'E Balans VL '!Y11/100/3.6*1000000</f>
        <v>2.9713207555191655E-2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5164.2879999999996</v>
      </c>
      <c r="C16" s="21">
        <f t="shared" ca="1" si="1"/>
        <v>0</v>
      </c>
      <c r="D16" s="21">
        <f t="shared" ca="1" si="1"/>
        <v>3964.8853200000003</v>
      </c>
      <c r="E16" s="21">
        <f t="shared" si="1"/>
        <v>95.984147492294795</v>
      </c>
      <c r="F16" s="21">
        <f t="shared" ca="1" si="1"/>
        <v>1227.7745230319661</v>
      </c>
      <c r="G16" s="21">
        <f t="shared" si="1"/>
        <v>0</v>
      </c>
      <c r="H16" s="21">
        <f t="shared" si="1"/>
        <v>0</v>
      </c>
      <c r="I16" s="21">
        <f t="shared" si="1"/>
        <v>0</v>
      </c>
      <c r="J16" s="21">
        <f t="shared" si="1"/>
        <v>0</v>
      </c>
      <c r="K16" s="21">
        <f t="shared" si="1"/>
        <v>0</v>
      </c>
      <c r="L16" s="21">
        <f t="shared" ca="1" si="1"/>
        <v>0</v>
      </c>
      <c r="M16" s="21">
        <f t="shared" si="1"/>
        <v>0</v>
      </c>
      <c r="N16" s="21">
        <f t="shared" ca="1" si="1"/>
        <v>621.70407076258368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0.20514305392933493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1059.4178116906171</v>
      </c>
      <c r="C20" s="23">
        <f t="shared" ref="C20:P20" ca="1" si="2">C16*C18</f>
        <v>0</v>
      </c>
      <c r="D20" s="23">
        <f t="shared" ca="1" si="2"/>
        <v>800.90683464000017</v>
      </c>
      <c r="E20" s="23">
        <f t="shared" si="2"/>
        <v>21.78840148075092</v>
      </c>
      <c r="F20" s="23">
        <f t="shared" ca="1" si="2"/>
        <v>327.81579764953494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1355.7429999999999</v>
      </c>
      <c r="C26" s="39">
        <f>IF(ISERROR(B26*3.6/1000000/'E Balans VL '!Z12*100),0,B26*3.6/1000000/'E Balans VL '!Z12*100)</f>
        <v>2.9041068295724198E-2</v>
      </c>
      <c r="D26" s="237" t="s">
        <v>660</v>
      </c>
      <c r="F26" s="6"/>
    </row>
    <row r="27" spans="1:18">
      <c r="A27" s="231" t="s">
        <v>53</v>
      </c>
      <c r="B27" s="33">
        <f>IF(ISERROR(TER_horeca_ele_kWh/1000),0,TER_horeca_ele_kWh/1000)</f>
        <v>446.673</v>
      </c>
      <c r="C27" s="39">
        <f>IF(ISERROR(B27*3.6/1000000/'E Balans VL '!Z9*100),0,B27*3.6/1000000/'E Balans VL '!Z9*100)</f>
        <v>3.5843955630499844E-2</v>
      </c>
      <c r="D27" s="237" t="s">
        <v>660</v>
      </c>
      <c r="F27" s="6"/>
    </row>
    <row r="28" spans="1:18">
      <c r="A28" s="171" t="s">
        <v>52</v>
      </c>
      <c r="B28" s="33">
        <f>IF(ISERROR(TER_handel_ele_kWh/1000),0,TER_handel_ele_kWh/1000)</f>
        <v>1970.2190000000001</v>
      </c>
      <c r="C28" s="39">
        <f>IF(ISERROR(B28*3.6/1000000/'E Balans VL '!Z13*100),0,B28*3.6/1000000/'E Balans VL '!Z13*100)</f>
        <v>5.8110159774565323E-2</v>
      </c>
      <c r="D28" s="237" t="s">
        <v>660</v>
      </c>
      <c r="F28" s="6"/>
    </row>
    <row r="29" spans="1:18">
      <c r="A29" s="231" t="s">
        <v>51</v>
      </c>
      <c r="B29" s="33">
        <f>IF(ISERROR(TER_gezond_ele_kWh/1000),0,TER_gezond_ele_kWh/1000)</f>
        <v>600.62599999999998</v>
      </c>
      <c r="C29" s="39">
        <f>IF(ISERROR(B29*3.6/1000000/'E Balans VL '!Z10*100),0,B29*3.6/1000000/'E Balans VL '!Z10*100)</f>
        <v>6.4130753413067954E-2</v>
      </c>
      <c r="D29" s="237" t="s">
        <v>660</v>
      </c>
      <c r="F29" s="6"/>
    </row>
    <row r="30" spans="1:18">
      <c r="A30" s="231" t="s">
        <v>50</v>
      </c>
      <c r="B30" s="33">
        <f>IF(ISERROR(TER_ander_ele_kWh/1000),0,TER_ander_ele_kWh/1000)</f>
        <v>775.07799999999997</v>
      </c>
      <c r="C30" s="39">
        <f>IF(ISERROR(B30*3.6/1000000/'E Balans VL '!Z14*100),0,B30*3.6/1000000/'E Balans VL '!Z14*100)</f>
        <v>5.854468494853695E-2</v>
      </c>
      <c r="D30" s="237" t="s">
        <v>660</v>
      </c>
      <c r="F30" s="6"/>
    </row>
    <row r="31" spans="1:18">
      <c r="A31" s="231" t="s">
        <v>55</v>
      </c>
      <c r="B31" s="33">
        <f>IF(ISERROR(TER_onderwijs_ele_kWh/1000),0,TER_onderwijs_ele_kWh/1000)</f>
        <v>15.949</v>
      </c>
      <c r="C31" s="39">
        <f>IF(ISERROR(B31*3.6/1000000/'E Balans VL '!Z11*100),0,B31*3.6/1000000/'E Balans VL '!Z11*100)</f>
        <v>3.2206355187515911E-3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740.16500000000008</v>
      </c>
      <c r="C5" s="17">
        <f>IF(ISERROR('Eigen informatie GS &amp; warmtenet'!B59),0,'Eigen informatie GS &amp; warmtenet'!B59)</f>
        <v>0</v>
      </c>
      <c r="D5" s="30">
        <f>SUM(D6:D15)</f>
        <v>418.21500600000002</v>
      </c>
      <c r="E5" s="17">
        <f>SUM(E6:E15)</f>
        <v>120.43519828777711</v>
      </c>
      <c r="F5" s="17">
        <f>SUM(F6:F15)</f>
        <v>451.50989016328532</v>
      </c>
      <c r="G5" s="18"/>
      <c r="H5" s="17"/>
      <c r="I5" s="17"/>
      <c r="J5" s="17">
        <f>SUM(J6:J15)</f>
        <v>0.26678085143853764</v>
      </c>
      <c r="K5" s="17"/>
      <c r="L5" s="17"/>
      <c r="M5" s="17"/>
      <c r="N5" s="17">
        <f>SUM(N6:N15)</f>
        <v>233.51476514217308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34.338000000000001</v>
      </c>
      <c r="C8" s="33"/>
      <c r="D8" s="37">
        <f>IF( ISERROR(IND_metaal_Gas_kWH/1000),0,IND_metaal_Gas_kWH/1000)*0.902</f>
        <v>0</v>
      </c>
      <c r="E8" s="33">
        <f>C30*'E Balans VL '!I18/100/3.6*1000000</f>
        <v>1.2355851194917835</v>
      </c>
      <c r="F8" s="33">
        <f>C30*'E Balans VL '!L18/100/3.6*1000000+C30*'E Balans VL '!N18/100/3.6*1000000</f>
        <v>14.994291481800241</v>
      </c>
      <c r="G8" s="34"/>
      <c r="H8" s="33"/>
      <c r="I8" s="33"/>
      <c r="J8" s="40">
        <f>C30*'E Balans VL '!D18/100/3.6*1000000+C30*'E Balans VL '!E18/100/3.6*1000000</f>
        <v>0</v>
      </c>
      <c r="K8" s="33"/>
      <c r="L8" s="33"/>
      <c r="M8" s="33"/>
      <c r="N8" s="33">
        <f>C30*'E Balans VL '!Y18/100/3.6*1000000</f>
        <v>1.7209972248564172</v>
      </c>
      <c r="O8" s="33"/>
      <c r="P8" s="33"/>
      <c r="R8" s="32"/>
    </row>
    <row r="9" spans="1:18">
      <c r="A9" s="6" t="s">
        <v>33</v>
      </c>
      <c r="B9" s="37">
        <f t="shared" si="0"/>
        <v>436.58100000000002</v>
      </c>
      <c r="C9" s="33"/>
      <c r="D9" s="37">
        <f>IF( ISERROR(IND_andere_gas_kWh/1000),0,IND_andere_gas_kWh/1000)*0.902</f>
        <v>325.59854799999999</v>
      </c>
      <c r="E9" s="33">
        <f>C31*'E Balans VL '!I19/100/3.6*1000000</f>
        <v>111.40559327820469</v>
      </c>
      <c r="F9" s="33">
        <f>C31*'E Balans VL '!L19/100/3.6*1000000+C31*'E Balans VL '!N19/100/3.6*1000000</f>
        <v>375.86342629631395</v>
      </c>
      <c r="G9" s="34"/>
      <c r="H9" s="33"/>
      <c r="I9" s="33"/>
      <c r="J9" s="40">
        <f>C31*'E Balans VL '!D19/100/3.6*1000000+C31*'E Balans VL '!E19/100/3.6*1000000</f>
        <v>0</v>
      </c>
      <c r="K9" s="33"/>
      <c r="L9" s="33"/>
      <c r="M9" s="33"/>
      <c r="N9" s="33">
        <f>C31*'E Balans VL '!Y19/100/3.6*1000000</f>
        <v>136.53383003775053</v>
      </c>
      <c r="O9" s="33"/>
      <c r="P9" s="33"/>
      <c r="R9" s="32"/>
    </row>
    <row r="10" spans="1:18">
      <c r="A10" s="6" t="s">
        <v>41</v>
      </c>
      <c r="B10" s="37">
        <f t="shared" si="0"/>
        <v>236.339</v>
      </c>
      <c r="C10" s="33"/>
      <c r="D10" s="37">
        <f>IF( ISERROR(IND_voed_gas_kWh/1000),0,IND_voed_gas_kWh/1000)*0.902</f>
        <v>0</v>
      </c>
      <c r="E10" s="33">
        <f>C32*'E Balans VL '!I20/100/3.6*1000000</f>
        <v>6.0080619000408699</v>
      </c>
      <c r="F10" s="33">
        <f>C32*'E Balans VL '!L20/100/3.6*1000000+C32*'E Balans VL '!N20/100/3.6*1000000</f>
        <v>53.479967945651467</v>
      </c>
      <c r="G10" s="34"/>
      <c r="H10" s="33"/>
      <c r="I10" s="33"/>
      <c r="J10" s="40">
        <f>C32*'E Balans VL '!D20/100/3.6*1000000+C32*'E Balans VL '!E20/100/3.6*1000000</f>
        <v>0</v>
      </c>
      <c r="K10" s="33"/>
      <c r="L10" s="33"/>
      <c r="M10" s="33"/>
      <c r="N10" s="33">
        <f>C32*'E Balans VL '!Y20/100/3.6*1000000</f>
        <v>88.633531220575108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32.906999999999996</v>
      </c>
      <c r="C15" s="33"/>
      <c r="D15" s="37">
        <f>IF( ISERROR(IND_rest_gas_kWh/1000),0,IND_rest_gas_kWh/1000)*0.902</f>
        <v>92.616458000000009</v>
      </c>
      <c r="E15" s="33">
        <f>C37*'E Balans VL '!I15/100/3.6*1000000</f>
        <v>1.7859579900397606</v>
      </c>
      <c r="F15" s="33">
        <f>C37*'E Balans VL '!L15/100/3.6*1000000+C37*'E Balans VL '!N15/100/3.6*1000000</f>
        <v>7.1722044395196676</v>
      </c>
      <c r="G15" s="34"/>
      <c r="H15" s="33"/>
      <c r="I15" s="33"/>
      <c r="J15" s="40">
        <f>C37*'E Balans VL '!D15/100/3.6*1000000+C37*'E Balans VL '!E15/100/3.6*1000000</f>
        <v>0.26678085143853764</v>
      </c>
      <c r="K15" s="33"/>
      <c r="L15" s="33"/>
      <c r="M15" s="33"/>
      <c r="N15" s="33">
        <f>C37*'E Balans VL '!Y15/100/3.6*1000000</f>
        <v>6.6264066589910211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740.16500000000008</v>
      </c>
      <c r="C18" s="21">
        <f>C5+C16</f>
        <v>0</v>
      </c>
      <c r="D18" s="21">
        <f>MAX((D5+D16),0)</f>
        <v>418.21500600000002</v>
      </c>
      <c r="E18" s="21">
        <f>MAX((E5+E16),0)</f>
        <v>120.43519828777711</v>
      </c>
      <c r="F18" s="21">
        <f>MAX((F5+F16),0)</f>
        <v>451.50989016328532</v>
      </c>
      <c r="G18" s="21"/>
      <c r="H18" s="21"/>
      <c r="I18" s="21"/>
      <c r="J18" s="21">
        <f>MAX((J5+J16),0)</f>
        <v>0.26678085143853764</v>
      </c>
      <c r="K18" s="21"/>
      <c r="L18" s="21">
        <f>MAX((L5+L16),0)</f>
        <v>0</v>
      </c>
      <c r="M18" s="21"/>
      <c r="N18" s="21">
        <f>MAX((N5+N16),0)</f>
        <v>233.51476514217308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0.20514305392933493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151.8397085116062</v>
      </c>
      <c r="C22" s="23">
        <f ca="1">C18*C20</f>
        <v>0</v>
      </c>
      <c r="D22" s="23">
        <f>D18*D20</f>
        <v>84.479431212000009</v>
      </c>
      <c r="E22" s="23">
        <f>E18*E20</f>
        <v>27.338790011325404</v>
      </c>
      <c r="F22" s="23">
        <f>F18*F20</f>
        <v>120.55314067359718</v>
      </c>
      <c r="G22" s="23"/>
      <c r="H22" s="23"/>
      <c r="I22" s="23"/>
      <c r="J22" s="23">
        <f>J18*J20</f>
        <v>9.4440421409242317E-2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34.338000000000001</v>
      </c>
      <c r="C30" s="39">
        <f>IF(ISERROR(B30*3.6/1000000/'E Balans VL '!Z18*100),0,B30*3.6/1000000/'E Balans VL '!Z18*100)</f>
        <v>7.2754860126826157E-3</v>
      </c>
      <c r="D30" s="237" t="s">
        <v>660</v>
      </c>
    </row>
    <row r="31" spans="1:18">
      <c r="A31" s="6" t="s">
        <v>33</v>
      </c>
      <c r="B31" s="37">
        <f>IF( ISERROR(IND_ander_ele_kWh/1000),0,IND_ander_ele_kWh/1000)</f>
        <v>436.58100000000002</v>
      </c>
      <c r="C31" s="39">
        <f>IF(ISERROR(B31*3.6/1000000/'E Balans VL '!Z19*100),0,B31*3.6/1000000/'E Balans VL '!Z19*100)</f>
        <v>1.8376685619255827E-2</v>
      </c>
      <c r="D31" s="237" t="s">
        <v>660</v>
      </c>
    </row>
    <row r="32" spans="1:18">
      <c r="A32" s="171" t="s">
        <v>41</v>
      </c>
      <c r="B32" s="37">
        <f>IF( ISERROR(IND_voed_ele_kWh/1000),0,IND_voed_ele_kWh/1000)</f>
        <v>236.339</v>
      </c>
      <c r="C32" s="39">
        <f>IF(ISERROR(B32*3.6/1000000/'E Balans VL '!Z20*100),0,B32*3.6/1000000/'E Balans VL '!Z20*100)</f>
        <v>3.9483103941876742E-2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32.906999999999996</v>
      </c>
      <c r="C37" s="39">
        <f>IF(ISERROR(B37*3.6/1000000/'E Balans VL '!Z15*100),0,B37*3.6/1000000/'E Balans VL '!Z15*100)</f>
        <v>2.6567095317442158E-4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606.91</v>
      </c>
      <c r="C5" s="17">
        <f>'Eigen informatie GS &amp; warmtenet'!B60</f>
        <v>0</v>
      </c>
      <c r="D5" s="30">
        <f>IF(ISERROR(SUM(LB_lb_gas_kWh,LB_rest_gas_kWh,onbekend_gas_kWh)/1000),0,SUM(LB_lb_gas_kWh,LB_rest_gas_kWh,onbekend_gas_kWh)/1000)*0.902</f>
        <v>93.588814000000013</v>
      </c>
      <c r="E5" s="17">
        <f>B17*'E Balans VL '!I25/3.6*1000000/100</f>
        <v>15.649878635013019</v>
      </c>
      <c r="F5" s="17">
        <f>B17*('E Balans VL '!L25/3.6*1000000+'E Balans VL '!N25/3.6*1000000)/100</f>
        <v>2218.371630394935</v>
      </c>
      <c r="G5" s="18"/>
      <c r="H5" s="17"/>
      <c r="I5" s="17"/>
      <c r="J5" s="17">
        <f>('E Balans VL '!D25+'E Balans VL '!E25)/3.6*1000000*landbouw!B17/100</f>
        <v>87.372713809955172</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606.91</v>
      </c>
      <c r="C8" s="21">
        <f>C5+C6</f>
        <v>0</v>
      </c>
      <c r="D8" s="21">
        <f>MAX((D5+D6),0)</f>
        <v>93.588814000000013</v>
      </c>
      <c r="E8" s="21">
        <f>MAX((E5+E6),0)</f>
        <v>15.649878635013019</v>
      </c>
      <c r="F8" s="21">
        <f>MAX((F5+F6),0)</f>
        <v>2218.371630394935</v>
      </c>
      <c r="G8" s="21"/>
      <c r="H8" s="21"/>
      <c r="I8" s="21"/>
      <c r="J8" s="21">
        <f>MAX((J5+J6),0)</f>
        <v>87.372713809955172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0.20514305392933493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124.50337086025266</v>
      </c>
      <c r="C12" s="23">
        <f ca="1">C8*C10</f>
        <v>0</v>
      </c>
      <c r="D12" s="23">
        <f>D8*D10</f>
        <v>18.904940428000003</v>
      </c>
      <c r="E12" s="23">
        <f>E8*E10</f>
        <v>3.5525224501479555</v>
      </c>
      <c r="F12" s="23">
        <f>F8*F10</f>
        <v>592.30522531544773</v>
      </c>
      <c r="G12" s="23"/>
      <c r="H12" s="23"/>
      <c r="I12" s="23"/>
      <c r="J12" s="23">
        <f>J8*J10</f>
        <v>30.92994068872413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8.5578330081698226E-2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268.82046624587673</v>
      </c>
      <c r="C26" s="247">
        <f>B26*'GWP N2O_CH4'!B5</f>
        <v>5645.2297911634114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41.802628187588162</v>
      </c>
      <c r="C27" s="247">
        <f>B27*'GWP N2O_CH4'!B5</f>
        <v>877.85519193935136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3.3645825201496966</v>
      </c>
      <c r="C28" s="247">
        <f>B28*'GWP N2O_CH4'!B4</f>
        <v>1043.020581246406</v>
      </c>
      <c r="D28" s="50"/>
    </row>
    <row r="29" spans="1:4">
      <c r="A29" s="41" t="s">
        <v>277</v>
      </c>
      <c r="B29" s="247">
        <f>B34*'ha_N2O bodem landbouw'!B4</f>
        <v>14.778648054056839</v>
      </c>
      <c r="C29" s="247">
        <f>B29*'GWP N2O_CH4'!B4</f>
        <v>4581.3808967576206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3.325998907259597E-3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3.858322338059643E-5</v>
      </c>
      <c r="C5" s="463" t="s">
        <v>211</v>
      </c>
      <c r="D5" s="448">
        <f>SUM(D6:D11)</f>
        <v>9.4653542620402322E-5</v>
      </c>
      <c r="E5" s="448">
        <f>SUM(E6:E11)</f>
        <v>3.6026832213014663E-4</v>
      </c>
      <c r="F5" s="461" t="s">
        <v>211</v>
      </c>
      <c r="G5" s="448">
        <f>SUM(G6:G11)</f>
        <v>0.1153239191576715</v>
      </c>
      <c r="H5" s="448">
        <f>SUM(H6:H11)</f>
        <v>2.5296313884495852E-2</v>
      </c>
      <c r="I5" s="463" t="s">
        <v>211</v>
      </c>
      <c r="J5" s="463" t="s">
        <v>211</v>
      </c>
      <c r="K5" s="463" t="s">
        <v>211</v>
      </c>
      <c r="L5" s="463" t="s">
        <v>211</v>
      </c>
      <c r="M5" s="448">
        <f>SUM(M6:M11)</f>
        <v>4.3912809065148398E-3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2.6836076962732169E-5</v>
      </c>
      <c r="C6" s="449"/>
      <c r="D6" s="962">
        <f>vkm_2011_GW_PW*SUMIFS(TableVerdeelsleutelVkm[CNG],TableVerdeelsleutelVkm[Voertuigtype],"Lichte voertuigen")*SUMIFS(TableECFTransport[EnergieConsumptieFactor (PJ per km)],TableECFTransport[Index],CONCATENATE($A6,"_CNG_CNG"))</f>
        <v>5.3323755000015737E-5</v>
      </c>
      <c r="E6" s="962">
        <f>vkm_2011_GW_PW*SUMIFS(TableVerdeelsleutelVkm[LPG],TableVerdeelsleutelVkm[Voertuigtype],"Lichte voertuigen")*SUMIFS(TableECFTransport[EnergieConsumptieFactor (PJ per km)],TableECFTransport[Index],CONCATENATE($A6,"_LPG_LPG"))</f>
        <v>2.0984809105827369E-4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4.9894675745791102E-2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1.4436344688207739E-2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2.0046140008562275E-3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2.9016208317251269E-2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9.3734746705119399E-6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9.1425632707071948E-4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1.1747146417864262E-5</v>
      </c>
      <c r="C8" s="449"/>
      <c r="D8" s="451">
        <f>vkm_2011_NGW_PW*SUMIFS(TableVerdeelsleutelVkm[CNG],TableVerdeelsleutelVkm[Voertuigtype],"Lichte voertuigen")*SUMIFS(TableECFTransport[EnergieConsumptieFactor (PJ per km)],TableECFTransport[Index],CONCATENATE($A8,"_CNG_CNG"))</f>
        <v>4.1329787620386592E-5</v>
      </c>
      <c r="E8" s="451">
        <f>vkm_2011_NGW_PW*SUMIFS(TableVerdeelsleutelVkm[LPG],TableVerdeelsleutelVkm[Voertuigtype],"Lichte voertuigen")*SUMIFS(TableECFTransport[EnergieConsumptieFactor (PJ per km)],TableECFTransport[Index],CONCATENATE($A8,"_LPG_LPG"))</f>
        <v>1.5042023107187291E-4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3.3397519764600168E-2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1.0849674456115406E-2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1.3773978903909045E-3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3.0155153300289589E-3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9.2126550219602098E-7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9.5012688196988577E-5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10.717562050165675</v>
      </c>
      <c r="C14" s="21"/>
      <c r="D14" s="21">
        <f t="shared" ref="D14:M14" si="0">((D5)*10^9/3600)+D12</f>
        <v>26.292650727889534</v>
      </c>
      <c r="E14" s="21">
        <f t="shared" si="0"/>
        <v>100.07453392504073</v>
      </c>
      <c r="F14" s="21"/>
      <c r="G14" s="21">
        <f t="shared" si="0"/>
        <v>32034.421988242084</v>
      </c>
      <c r="H14" s="21">
        <f t="shared" si="0"/>
        <v>7026.7538568044029</v>
      </c>
      <c r="I14" s="21"/>
      <c r="J14" s="21"/>
      <c r="K14" s="21"/>
      <c r="L14" s="21"/>
      <c r="M14" s="21">
        <f t="shared" si="0"/>
        <v>1219.8002518096778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0.20514305392933493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2.1986334096481306</v>
      </c>
      <c r="C18" s="23"/>
      <c r="D18" s="23">
        <f t="shared" ref="D18:M18" si="1">D14*D16</f>
        <v>5.3111154470336865</v>
      </c>
      <c r="E18" s="23">
        <f t="shared" si="1"/>
        <v>22.716919200984247</v>
      </c>
      <c r="F18" s="23"/>
      <c r="G18" s="23">
        <f t="shared" si="1"/>
        <v>8553.1906708606366</v>
      </c>
      <c r="H18" s="23">
        <f t="shared" si="1"/>
        <v>1749.6617103442964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2.8428965263361666E-3</v>
      </c>
      <c r="H50" s="321">
        <f t="shared" si="2"/>
        <v>0</v>
      </c>
      <c r="I50" s="321">
        <f t="shared" si="2"/>
        <v>0</v>
      </c>
      <c r="J50" s="321">
        <f t="shared" si="2"/>
        <v>0</v>
      </c>
      <c r="K50" s="321">
        <f t="shared" si="2"/>
        <v>0</v>
      </c>
      <c r="L50" s="321">
        <f t="shared" si="2"/>
        <v>0</v>
      </c>
      <c r="M50" s="321">
        <f t="shared" si="2"/>
        <v>8.8180290169760764E-5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2.8428965263361666E-3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8.8180290169760764E-5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789.69347953782403</v>
      </c>
      <c r="H54" s="21">
        <f t="shared" si="3"/>
        <v>0</v>
      </c>
      <c r="I54" s="21">
        <f t="shared" si="3"/>
        <v>0</v>
      </c>
      <c r="J54" s="21">
        <f t="shared" si="3"/>
        <v>0</v>
      </c>
      <c r="K54" s="21">
        <f t="shared" si="3"/>
        <v>0</v>
      </c>
      <c r="L54" s="21">
        <f t="shared" si="3"/>
        <v>0</v>
      </c>
      <c r="M54" s="21">
        <f t="shared" si="3"/>
        <v>24.494525047155765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0.20514305392933493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210.84815903659901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1695.6043824103149</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1695.6043824103149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5808.28</v>
      </c>
      <c r="D10" s="718">
        <f ca="1">tertiair!C16</f>
        <v>0</v>
      </c>
      <c r="E10" s="718">
        <f ca="1">tertiair!D16</f>
        <v>3964.8853200000003</v>
      </c>
      <c r="F10" s="718">
        <f>tertiair!E16</f>
        <v>95.984147492294795</v>
      </c>
      <c r="G10" s="718">
        <f ca="1">tertiair!F16</f>
        <v>1227.7745230319661</v>
      </c>
      <c r="H10" s="718">
        <f>tertiair!G16</f>
        <v>0</v>
      </c>
      <c r="I10" s="718">
        <f>tertiair!H16</f>
        <v>0</v>
      </c>
      <c r="J10" s="718">
        <f>tertiair!I16</f>
        <v>0</v>
      </c>
      <c r="K10" s="718">
        <f>tertiair!J16</f>
        <v>0</v>
      </c>
      <c r="L10" s="718">
        <f>tertiair!K16</f>
        <v>0</v>
      </c>
      <c r="M10" s="718">
        <f ca="1">tertiair!L16</f>
        <v>0</v>
      </c>
      <c r="N10" s="718">
        <f>tertiair!M16</f>
        <v>0</v>
      </c>
      <c r="O10" s="718">
        <f ca="1">tertiair!N16</f>
        <v>621.70407076258368</v>
      </c>
      <c r="P10" s="718">
        <f>tertiair!O16</f>
        <v>3.1266666666666669</v>
      </c>
      <c r="Q10" s="719">
        <f>tertiair!P16</f>
        <v>0</v>
      </c>
      <c r="R10" s="721">
        <f ca="1">SUM(C10:Q10)</f>
        <v>11721.754727953512</v>
      </c>
      <c r="S10" s="67"/>
    </row>
    <row r="11" spans="1:19" s="474" customFormat="1">
      <c r="A11" s="870" t="s">
        <v>225</v>
      </c>
      <c r="B11" s="875"/>
      <c r="C11" s="718">
        <f>huishoudens!B8</f>
        <v>16465.752055548623</v>
      </c>
      <c r="D11" s="718">
        <f>huishoudens!C8</f>
        <v>0</v>
      </c>
      <c r="E11" s="718">
        <f>huishoudens!D8</f>
        <v>13822.415772</v>
      </c>
      <c r="F11" s="718">
        <f>huishoudens!E8</f>
        <v>4622.023942552667</v>
      </c>
      <c r="G11" s="718">
        <f>huishoudens!F8</f>
        <v>34531.779860508563</v>
      </c>
      <c r="H11" s="718">
        <f>huishoudens!G8</f>
        <v>0</v>
      </c>
      <c r="I11" s="718">
        <f>huishoudens!H8</f>
        <v>0</v>
      </c>
      <c r="J11" s="718">
        <f>huishoudens!I8</f>
        <v>0</v>
      </c>
      <c r="K11" s="718">
        <f>huishoudens!J8</f>
        <v>1498.2016778526327</v>
      </c>
      <c r="L11" s="718">
        <f>huishoudens!K8</f>
        <v>0</v>
      </c>
      <c r="M11" s="718">
        <f>huishoudens!L8</f>
        <v>0</v>
      </c>
      <c r="N11" s="718">
        <f>huishoudens!M8</f>
        <v>0</v>
      </c>
      <c r="O11" s="718">
        <f>huishoudens!N8</f>
        <v>9001.2705375005662</v>
      </c>
      <c r="P11" s="718">
        <f>huishoudens!O8</f>
        <v>114.12333333333335</v>
      </c>
      <c r="Q11" s="719">
        <f>huishoudens!P8</f>
        <v>800.8</v>
      </c>
      <c r="R11" s="721">
        <f>SUM(C11:Q11)</f>
        <v>80856.367179296387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740.16500000000008</v>
      </c>
      <c r="D13" s="718">
        <f>industrie!C18</f>
        <v>0</v>
      </c>
      <c r="E13" s="718">
        <f>industrie!D18</f>
        <v>418.21500600000002</v>
      </c>
      <c r="F13" s="718">
        <f>industrie!E18</f>
        <v>120.43519828777711</v>
      </c>
      <c r="G13" s="718">
        <f>industrie!F18</f>
        <v>451.50989016328532</v>
      </c>
      <c r="H13" s="718">
        <f>industrie!G18</f>
        <v>0</v>
      </c>
      <c r="I13" s="718">
        <f>industrie!H18</f>
        <v>0</v>
      </c>
      <c r="J13" s="718">
        <f>industrie!I18</f>
        <v>0</v>
      </c>
      <c r="K13" s="718">
        <f>industrie!J18</f>
        <v>0.26678085143853764</v>
      </c>
      <c r="L13" s="718">
        <f>industrie!K18</f>
        <v>0</v>
      </c>
      <c r="M13" s="718">
        <f>industrie!L18</f>
        <v>0</v>
      </c>
      <c r="N13" s="718">
        <f>industrie!M18</f>
        <v>0</v>
      </c>
      <c r="O13" s="718">
        <f>industrie!N18</f>
        <v>233.51476514217308</v>
      </c>
      <c r="P13" s="718">
        <f>industrie!O18</f>
        <v>0</v>
      </c>
      <c r="Q13" s="719">
        <f>industrie!P18</f>
        <v>0</v>
      </c>
      <c r="R13" s="721">
        <f>SUM(C13:Q13)</f>
        <v>1964.1066404446742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23014.197055548622</v>
      </c>
      <c r="D15" s="723">
        <f t="shared" ref="D15:Q15" ca="1" si="0">SUM(D9:D14)</f>
        <v>0</v>
      </c>
      <c r="E15" s="723">
        <f t="shared" ca="1" si="0"/>
        <v>18205.516098</v>
      </c>
      <c r="F15" s="723">
        <f t="shared" si="0"/>
        <v>4838.443288332739</v>
      </c>
      <c r="G15" s="723">
        <f t="shared" ca="1" si="0"/>
        <v>36211.064273703814</v>
      </c>
      <c r="H15" s="723">
        <f t="shared" si="0"/>
        <v>0</v>
      </c>
      <c r="I15" s="723">
        <f t="shared" si="0"/>
        <v>0</v>
      </c>
      <c r="J15" s="723">
        <f t="shared" si="0"/>
        <v>0</v>
      </c>
      <c r="K15" s="723">
        <f t="shared" si="0"/>
        <v>1498.4684587040713</v>
      </c>
      <c r="L15" s="723">
        <f t="shared" si="0"/>
        <v>0</v>
      </c>
      <c r="M15" s="723">
        <f t="shared" ca="1" si="0"/>
        <v>0</v>
      </c>
      <c r="N15" s="723">
        <f t="shared" si="0"/>
        <v>0</v>
      </c>
      <c r="O15" s="723">
        <f t="shared" ca="1" si="0"/>
        <v>9856.4893734053239</v>
      </c>
      <c r="P15" s="723">
        <f t="shared" si="0"/>
        <v>117.25000000000001</v>
      </c>
      <c r="Q15" s="724">
        <f t="shared" si="0"/>
        <v>800.8</v>
      </c>
      <c r="R15" s="725">
        <f ca="1">SUM(R9:R14)</f>
        <v>94542.228547694569</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789.69347953782403</v>
      </c>
      <c r="I18" s="718">
        <f>transport!H54</f>
        <v>0</v>
      </c>
      <c r="J18" s="718">
        <f>transport!I54</f>
        <v>0</v>
      </c>
      <c r="K18" s="718">
        <f>transport!J54</f>
        <v>0</v>
      </c>
      <c r="L18" s="718">
        <f>transport!K54</f>
        <v>0</v>
      </c>
      <c r="M18" s="718">
        <f>transport!L54</f>
        <v>0</v>
      </c>
      <c r="N18" s="718">
        <f>transport!M54</f>
        <v>24.494525047155765</v>
      </c>
      <c r="O18" s="718">
        <f>transport!N54</f>
        <v>0</v>
      </c>
      <c r="P18" s="718">
        <f>transport!O54</f>
        <v>0</v>
      </c>
      <c r="Q18" s="719">
        <f>transport!P54</f>
        <v>0</v>
      </c>
      <c r="R18" s="721">
        <f>SUM(C18:Q18)</f>
        <v>814.18800458497981</v>
      </c>
      <c r="S18" s="67"/>
    </row>
    <row r="19" spans="1:19" s="474" customFormat="1" ht="15" thickBot="1">
      <c r="A19" s="870" t="s">
        <v>307</v>
      </c>
      <c r="B19" s="875"/>
      <c r="C19" s="727">
        <f>transport!B14</f>
        <v>10.717562050165675</v>
      </c>
      <c r="D19" s="727">
        <f>transport!C14</f>
        <v>0</v>
      </c>
      <c r="E19" s="727">
        <f>transport!D14</f>
        <v>26.292650727889534</v>
      </c>
      <c r="F19" s="727">
        <f>transport!E14</f>
        <v>100.07453392504073</v>
      </c>
      <c r="G19" s="727">
        <f>transport!F14</f>
        <v>0</v>
      </c>
      <c r="H19" s="727">
        <f>transport!G14</f>
        <v>32034.421988242084</v>
      </c>
      <c r="I19" s="727">
        <f>transport!H14</f>
        <v>7026.7538568044029</v>
      </c>
      <c r="J19" s="727">
        <f>transport!I14</f>
        <v>0</v>
      </c>
      <c r="K19" s="727">
        <f>transport!J14</f>
        <v>0</v>
      </c>
      <c r="L19" s="727">
        <f>transport!K14</f>
        <v>0</v>
      </c>
      <c r="M19" s="727">
        <f>transport!L14</f>
        <v>0</v>
      </c>
      <c r="N19" s="727">
        <f>transport!M14</f>
        <v>1219.8002518096778</v>
      </c>
      <c r="O19" s="727">
        <f>transport!N14</f>
        <v>0</v>
      </c>
      <c r="P19" s="727">
        <f>transport!O14</f>
        <v>0</v>
      </c>
      <c r="Q19" s="728">
        <f>transport!P14</f>
        <v>0</v>
      </c>
      <c r="R19" s="729">
        <f>SUM(C19:Q19)</f>
        <v>40418.060843559259</v>
      </c>
      <c r="S19" s="67"/>
    </row>
    <row r="20" spans="1:19" s="474" customFormat="1" ht="15.75" thickBot="1">
      <c r="A20" s="730" t="s">
        <v>230</v>
      </c>
      <c r="B20" s="878"/>
      <c r="C20" s="873">
        <f>SUM(C17:C19)</f>
        <v>10.717562050165675</v>
      </c>
      <c r="D20" s="731">
        <f t="shared" ref="D20:R20" si="1">SUM(D17:D19)</f>
        <v>0</v>
      </c>
      <c r="E20" s="731">
        <f t="shared" si="1"/>
        <v>26.292650727889534</v>
      </c>
      <c r="F20" s="731">
        <f t="shared" si="1"/>
        <v>100.07453392504073</v>
      </c>
      <c r="G20" s="731">
        <f t="shared" si="1"/>
        <v>0</v>
      </c>
      <c r="H20" s="731">
        <f t="shared" si="1"/>
        <v>32824.115467779906</v>
      </c>
      <c r="I20" s="731">
        <f t="shared" si="1"/>
        <v>7026.7538568044029</v>
      </c>
      <c r="J20" s="731">
        <f t="shared" si="1"/>
        <v>0</v>
      </c>
      <c r="K20" s="731">
        <f t="shared" si="1"/>
        <v>0</v>
      </c>
      <c r="L20" s="731">
        <f t="shared" si="1"/>
        <v>0</v>
      </c>
      <c r="M20" s="731">
        <f t="shared" si="1"/>
        <v>0</v>
      </c>
      <c r="N20" s="731">
        <f t="shared" si="1"/>
        <v>1244.2947768568336</v>
      </c>
      <c r="O20" s="731">
        <f t="shared" si="1"/>
        <v>0</v>
      </c>
      <c r="P20" s="731">
        <f t="shared" si="1"/>
        <v>0</v>
      </c>
      <c r="Q20" s="732">
        <f t="shared" si="1"/>
        <v>0</v>
      </c>
      <c r="R20" s="733">
        <f t="shared" si="1"/>
        <v>41232.248848144241</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606.91</v>
      </c>
      <c r="D22" s="727">
        <f>+landbouw!C8</f>
        <v>0</v>
      </c>
      <c r="E22" s="727">
        <f>+landbouw!D8</f>
        <v>93.588814000000013</v>
      </c>
      <c r="F22" s="727">
        <f>+landbouw!E8</f>
        <v>15.649878635013019</v>
      </c>
      <c r="G22" s="727">
        <f>+landbouw!F8</f>
        <v>2218.371630394935</v>
      </c>
      <c r="H22" s="727">
        <f>+landbouw!G8</f>
        <v>0</v>
      </c>
      <c r="I22" s="727">
        <f>+landbouw!H8</f>
        <v>0</v>
      </c>
      <c r="J22" s="727">
        <f>+landbouw!I8</f>
        <v>0</v>
      </c>
      <c r="K22" s="727">
        <f>+landbouw!J8</f>
        <v>87.372713809955172</v>
      </c>
      <c r="L22" s="727">
        <f>+landbouw!K8</f>
        <v>0</v>
      </c>
      <c r="M22" s="727">
        <f>+landbouw!L8</f>
        <v>0</v>
      </c>
      <c r="N22" s="727">
        <f>+landbouw!M8</f>
        <v>0</v>
      </c>
      <c r="O22" s="727">
        <f>+landbouw!N8</f>
        <v>0</v>
      </c>
      <c r="P22" s="727">
        <f>+landbouw!O8</f>
        <v>0</v>
      </c>
      <c r="Q22" s="728">
        <f>+landbouw!P8</f>
        <v>0</v>
      </c>
      <c r="R22" s="729">
        <f>SUM(C22:Q22)</f>
        <v>3021.8930368399033</v>
      </c>
      <c r="S22" s="67"/>
    </row>
    <row r="23" spans="1:19" s="474" customFormat="1" ht="17.25" thickTop="1" thickBot="1">
      <c r="A23" s="734" t="s">
        <v>116</v>
      </c>
      <c r="B23" s="864"/>
      <c r="C23" s="735">
        <f ca="1">C20+C15+C22</f>
        <v>23631.824617598788</v>
      </c>
      <c r="D23" s="735">
        <f t="shared" ref="D23:Q23" ca="1" si="2">D20+D15+D22</f>
        <v>0</v>
      </c>
      <c r="E23" s="735">
        <f t="shared" ca="1" si="2"/>
        <v>18325.397562727889</v>
      </c>
      <c r="F23" s="735">
        <f t="shared" si="2"/>
        <v>4954.1677008927927</v>
      </c>
      <c r="G23" s="735">
        <f t="shared" ca="1" si="2"/>
        <v>38429.435904098747</v>
      </c>
      <c r="H23" s="735">
        <f t="shared" si="2"/>
        <v>32824.115467779906</v>
      </c>
      <c r="I23" s="735">
        <f t="shared" si="2"/>
        <v>7026.7538568044029</v>
      </c>
      <c r="J23" s="735">
        <f t="shared" si="2"/>
        <v>0</v>
      </c>
      <c r="K23" s="735">
        <f t="shared" si="2"/>
        <v>1585.8411725140265</v>
      </c>
      <c r="L23" s="735">
        <f t="shared" si="2"/>
        <v>0</v>
      </c>
      <c r="M23" s="735">
        <f t="shared" ca="1" si="2"/>
        <v>0</v>
      </c>
      <c r="N23" s="735">
        <f t="shared" si="2"/>
        <v>1244.2947768568336</v>
      </c>
      <c r="O23" s="735">
        <f t="shared" ca="1" si="2"/>
        <v>9856.4893734053239</v>
      </c>
      <c r="P23" s="735">
        <f t="shared" si="2"/>
        <v>117.25000000000001</v>
      </c>
      <c r="Q23" s="736">
        <f t="shared" si="2"/>
        <v>800.8</v>
      </c>
      <c r="R23" s="737">
        <f ca="1">R20+R15+R22</f>
        <v>138796.37043267873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1191.5282972766774</v>
      </c>
      <c r="D36" s="718">
        <f ca="1">tertiair!C20</f>
        <v>0</v>
      </c>
      <c r="E36" s="718">
        <f ca="1">tertiair!D20</f>
        <v>800.90683464000017</v>
      </c>
      <c r="F36" s="718">
        <f>tertiair!E20</f>
        <v>21.78840148075092</v>
      </c>
      <c r="G36" s="718">
        <f ca="1">tertiair!F20</f>
        <v>327.81579764953494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2342.0393310469635</v>
      </c>
    </row>
    <row r="37" spans="1:18">
      <c r="A37" s="885" t="s">
        <v>225</v>
      </c>
      <c r="B37" s="892"/>
      <c r="C37" s="718">
        <f ca="1">huishoudens!B12</f>
        <v>3377.8346619184686</v>
      </c>
      <c r="D37" s="718">
        <f ca="1">huishoudens!C12</f>
        <v>0</v>
      </c>
      <c r="E37" s="718">
        <f>huishoudens!D12</f>
        <v>2792.1279859440001</v>
      </c>
      <c r="F37" s="718">
        <f>huishoudens!E12</f>
        <v>1049.1994349594554</v>
      </c>
      <c r="G37" s="718">
        <f>huishoudens!F12</f>
        <v>9219.9852227557876</v>
      </c>
      <c r="H37" s="718">
        <f>huishoudens!G12</f>
        <v>0</v>
      </c>
      <c r="I37" s="718">
        <f>huishoudens!H12</f>
        <v>0</v>
      </c>
      <c r="J37" s="718">
        <f>huishoudens!I12</f>
        <v>0</v>
      </c>
      <c r="K37" s="718">
        <f>huishoudens!J12</f>
        <v>530.36339395983191</v>
      </c>
      <c r="L37" s="718">
        <f>huishoudens!K12</f>
        <v>0</v>
      </c>
      <c r="M37" s="718">
        <f>huishoudens!L12</f>
        <v>0</v>
      </c>
      <c r="N37" s="718">
        <f>huishoudens!M12</f>
        <v>0</v>
      </c>
      <c r="O37" s="718">
        <f>huishoudens!N12</f>
        <v>0</v>
      </c>
      <c r="P37" s="718">
        <f>huishoudens!O12</f>
        <v>0</v>
      </c>
      <c r="Q37" s="828">
        <f>huishoudens!P12</f>
        <v>0</v>
      </c>
      <c r="R37" s="917">
        <f ca="1">SUM(C37:Q37)</f>
        <v>16969.510699537543</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151.8397085116062</v>
      </c>
      <c r="D39" s="718">
        <f ca="1">industrie!C22</f>
        <v>0</v>
      </c>
      <c r="E39" s="718">
        <f>industrie!D22</f>
        <v>84.479431212000009</v>
      </c>
      <c r="F39" s="718">
        <f>industrie!E22</f>
        <v>27.338790011325404</v>
      </c>
      <c r="G39" s="718">
        <f>industrie!F22</f>
        <v>120.55314067359718</v>
      </c>
      <c r="H39" s="718">
        <f>industrie!G22</f>
        <v>0</v>
      </c>
      <c r="I39" s="718">
        <f>industrie!H22</f>
        <v>0</v>
      </c>
      <c r="J39" s="718">
        <f>industrie!I22</f>
        <v>0</v>
      </c>
      <c r="K39" s="718">
        <f>industrie!J22</f>
        <v>9.4440421409242317E-2</v>
      </c>
      <c r="L39" s="718">
        <f>industrie!K22</f>
        <v>0</v>
      </c>
      <c r="M39" s="718">
        <f>industrie!L22</f>
        <v>0</v>
      </c>
      <c r="N39" s="718">
        <f>industrie!M22</f>
        <v>0</v>
      </c>
      <c r="O39" s="718">
        <f>industrie!N22</f>
        <v>0</v>
      </c>
      <c r="P39" s="718">
        <f>industrie!O22</f>
        <v>0</v>
      </c>
      <c r="Q39" s="828">
        <f>industrie!P22</f>
        <v>0</v>
      </c>
      <c r="R39" s="918">
        <f ca="1">SUM(C39:Q39)</f>
        <v>384.30551082993799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4721.2026677067515</v>
      </c>
      <c r="D41" s="763">
        <f t="shared" ref="D41:R41" ca="1" si="4">SUM(D35:D40)</f>
        <v>0</v>
      </c>
      <c r="E41" s="763">
        <f t="shared" ca="1" si="4"/>
        <v>3677.5142517960003</v>
      </c>
      <c r="F41" s="763">
        <f t="shared" si="4"/>
        <v>1098.3266264515319</v>
      </c>
      <c r="G41" s="763">
        <f t="shared" ca="1" si="4"/>
        <v>9668.3541610789198</v>
      </c>
      <c r="H41" s="763">
        <f t="shared" si="4"/>
        <v>0</v>
      </c>
      <c r="I41" s="763">
        <f t="shared" si="4"/>
        <v>0</v>
      </c>
      <c r="J41" s="763">
        <f t="shared" si="4"/>
        <v>0</v>
      </c>
      <c r="K41" s="763">
        <f t="shared" si="4"/>
        <v>530.45783438124113</v>
      </c>
      <c r="L41" s="763">
        <f t="shared" si="4"/>
        <v>0</v>
      </c>
      <c r="M41" s="763">
        <f t="shared" ca="1" si="4"/>
        <v>0</v>
      </c>
      <c r="N41" s="763">
        <f t="shared" si="4"/>
        <v>0</v>
      </c>
      <c r="O41" s="763">
        <f t="shared" ca="1" si="4"/>
        <v>0</v>
      </c>
      <c r="P41" s="763">
        <f t="shared" si="4"/>
        <v>0</v>
      </c>
      <c r="Q41" s="764">
        <f t="shared" si="4"/>
        <v>0</v>
      </c>
      <c r="R41" s="765">
        <f t="shared" ca="1" si="4"/>
        <v>19695.855541414443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210.84815903659901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210.84815903659901</v>
      </c>
    </row>
    <row r="45" spans="1:18" ht="15" thickBot="1">
      <c r="A45" s="888" t="s">
        <v>307</v>
      </c>
      <c r="B45" s="898"/>
      <c r="C45" s="727">
        <f ca="1">transport!B18</f>
        <v>2.1986334096481306</v>
      </c>
      <c r="D45" s="727">
        <f>transport!C18</f>
        <v>0</v>
      </c>
      <c r="E45" s="727">
        <f>transport!D18</f>
        <v>5.3111154470336865</v>
      </c>
      <c r="F45" s="727">
        <f>transport!E18</f>
        <v>22.716919200984247</v>
      </c>
      <c r="G45" s="727">
        <f>transport!F18</f>
        <v>0</v>
      </c>
      <c r="H45" s="727">
        <f>transport!G18</f>
        <v>8553.1906708606366</v>
      </c>
      <c r="I45" s="727">
        <f>transport!H18</f>
        <v>1749.6617103442964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10333.0790492626</v>
      </c>
    </row>
    <row r="46" spans="1:18" ht="15.75" thickBot="1">
      <c r="A46" s="886" t="s">
        <v>230</v>
      </c>
      <c r="B46" s="899"/>
      <c r="C46" s="763">
        <f t="shared" ref="C46:R46" ca="1" si="5">SUM(C43:C45)</f>
        <v>2.1986334096481306</v>
      </c>
      <c r="D46" s="763">
        <f t="shared" ca="1" si="5"/>
        <v>0</v>
      </c>
      <c r="E46" s="763">
        <f t="shared" si="5"/>
        <v>5.3111154470336865</v>
      </c>
      <c r="F46" s="763">
        <f t="shared" si="5"/>
        <v>22.716919200984247</v>
      </c>
      <c r="G46" s="763">
        <f t="shared" si="5"/>
        <v>0</v>
      </c>
      <c r="H46" s="763">
        <f t="shared" si="5"/>
        <v>8764.0388298972357</v>
      </c>
      <c r="I46" s="763">
        <f t="shared" si="5"/>
        <v>1749.6617103442964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10543.927208299199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124.50337086025266</v>
      </c>
      <c r="D48" s="718">
        <f ca="1">+landbouw!C12</f>
        <v>0</v>
      </c>
      <c r="E48" s="718">
        <f>+landbouw!D12</f>
        <v>18.904940428000003</v>
      </c>
      <c r="F48" s="718">
        <f>+landbouw!E12</f>
        <v>3.5525224501479555</v>
      </c>
      <c r="G48" s="718">
        <f>+landbouw!F12</f>
        <v>592.30522531544773</v>
      </c>
      <c r="H48" s="718">
        <f>+landbouw!G12</f>
        <v>0</v>
      </c>
      <c r="I48" s="718">
        <f>+landbouw!H12</f>
        <v>0</v>
      </c>
      <c r="J48" s="718">
        <f>+landbouw!I12</f>
        <v>0</v>
      </c>
      <c r="K48" s="718">
        <f>+landbouw!J12</f>
        <v>30.92994068872413</v>
      </c>
      <c r="L48" s="718">
        <f>+landbouw!K12</f>
        <v>0</v>
      </c>
      <c r="M48" s="718">
        <f>+landbouw!L12</f>
        <v>0</v>
      </c>
      <c r="N48" s="718">
        <f>+landbouw!M12</f>
        <v>0</v>
      </c>
      <c r="O48" s="718">
        <f>+landbouw!N12</f>
        <v>0</v>
      </c>
      <c r="P48" s="718">
        <f>+landbouw!O12</f>
        <v>0</v>
      </c>
      <c r="Q48" s="719">
        <f>+landbouw!P12</f>
        <v>0</v>
      </c>
      <c r="R48" s="761">
        <f ca="1">SUM(C48:Q48)</f>
        <v>770.19599974257255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4847.904671976652</v>
      </c>
      <c r="D53" s="773">
        <f t="shared" ref="D53:Q53" ca="1" si="6">D41+D46+D48</f>
        <v>0</v>
      </c>
      <c r="E53" s="773">
        <f t="shared" ca="1" si="6"/>
        <v>3701.7303076710341</v>
      </c>
      <c r="F53" s="773">
        <f t="shared" si="6"/>
        <v>1124.596068102664</v>
      </c>
      <c r="G53" s="773">
        <f t="shared" ca="1" si="6"/>
        <v>10260.659386394367</v>
      </c>
      <c r="H53" s="773">
        <f t="shared" si="6"/>
        <v>8764.0388298972357</v>
      </c>
      <c r="I53" s="773">
        <f t="shared" si="6"/>
        <v>1749.6617103442964</v>
      </c>
      <c r="J53" s="773">
        <f t="shared" si="6"/>
        <v>0</v>
      </c>
      <c r="K53" s="773">
        <f t="shared" si="6"/>
        <v>561.3877750699653</v>
      </c>
      <c r="L53" s="773">
        <f t="shared" si="6"/>
        <v>0</v>
      </c>
      <c r="M53" s="773">
        <f t="shared" ca="1" si="6"/>
        <v>0</v>
      </c>
      <c r="N53" s="773">
        <f t="shared" si="6"/>
        <v>0</v>
      </c>
      <c r="O53" s="773">
        <f t="shared" ca="1" si="6"/>
        <v>0</v>
      </c>
      <c r="P53" s="773">
        <f>P41+P46+P48</f>
        <v>0</v>
      </c>
      <c r="Q53" s="774">
        <f t="shared" si="6"/>
        <v>0</v>
      </c>
      <c r="R53" s="775">
        <f ca="1">R41+R46+R48</f>
        <v>31009.978749456215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0.20514305392933488</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1695.6043824103149</v>
      </c>
      <c r="C66" s="795">
        <f>'lokale energieproductie'!B6</f>
        <v>1695.6043824103149</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1695.6043824103149</v>
      </c>
      <c r="C69" s="803">
        <f>SUM(C64:C68)</f>
        <v>1695.6043824103149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16465.752055548623</v>
      </c>
      <c r="C4" s="478">
        <f>huishoudens!C8</f>
        <v>0</v>
      </c>
      <c r="D4" s="478">
        <f>huishoudens!D8</f>
        <v>13822.415772</v>
      </c>
      <c r="E4" s="478">
        <f>huishoudens!E8</f>
        <v>4622.023942552667</v>
      </c>
      <c r="F4" s="478">
        <f>huishoudens!F8</f>
        <v>34531.779860508563</v>
      </c>
      <c r="G4" s="478">
        <f>huishoudens!G8</f>
        <v>0</v>
      </c>
      <c r="H4" s="478">
        <f>huishoudens!H8</f>
        <v>0</v>
      </c>
      <c r="I4" s="478">
        <f>huishoudens!I8</f>
        <v>0</v>
      </c>
      <c r="J4" s="478">
        <f>huishoudens!J8</f>
        <v>1498.2016778526327</v>
      </c>
      <c r="K4" s="478">
        <f>huishoudens!K8</f>
        <v>0</v>
      </c>
      <c r="L4" s="478">
        <f>huishoudens!L8</f>
        <v>0</v>
      </c>
      <c r="M4" s="478">
        <f>huishoudens!M8</f>
        <v>0</v>
      </c>
      <c r="N4" s="478">
        <f>huishoudens!N8</f>
        <v>9001.2705375005662</v>
      </c>
      <c r="O4" s="478">
        <f>huishoudens!O8</f>
        <v>114.12333333333335</v>
      </c>
      <c r="P4" s="479">
        <f>huishoudens!P8</f>
        <v>800.8</v>
      </c>
      <c r="Q4" s="480">
        <f>SUM(B4:P4)</f>
        <v>80856.367179296387</v>
      </c>
    </row>
    <row r="5" spans="1:17">
      <c r="A5" s="477" t="s">
        <v>156</v>
      </c>
      <c r="B5" s="478">
        <f ca="1">tertiair!B16</f>
        <v>5164.2879999999996</v>
      </c>
      <c r="C5" s="478">
        <f ca="1">tertiair!C16</f>
        <v>0</v>
      </c>
      <c r="D5" s="478">
        <f ca="1">tertiair!D16</f>
        <v>3964.8853200000003</v>
      </c>
      <c r="E5" s="478">
        <f>tertiair!E16</f>
        <v>95.984147492294795</v>
      </c>
      <c r="F5" s="478">
        <f ca="1">tertiair!F16</f>
        <v>1227.7745230319661</v>
      </c>
      <c r="G5" s="478">
        <f>tertiair!G16</f>
        <v>0</v>
      </c>
      <c r="H5" s="478">
        <f>tertiair!H16</f>
        <v>0</v>
      </c>
      <c r="I5" s="478">
        <f>tertiair!I16</f>
        <v>0</v>
      </c>
      <c r="J5" s="478">
        <f>tertiair!J16</f>
        <v>0</v>
      </c>
      <c r="K5" s="478">
        <f>tertiair!K16</f>
        <v>0</v>
      </c>
      <c r="L5" s="478">
        <f ca="1">tertiair!L16</f>
        <v>0</v>
      </c>
      <c r="M5" s="478">
        <f>tertiair!M16</f>
        <v>0</v>
      </c>
      <c r="N5" s="478">
        <f ca="1">tertiair!N16</f>
        <v>621.70407076258368</v>
      </c>
      <c r="O5" s="478">
        <f>tertiair!O16</f>
        <v>3.1266666666666669</v>
      </c>
      <c r="P5" s="479">
        <f>tertiair!P16</f>
        <v>0</v>
      </c>
      <c r="Q5" s="477">
        <f t="shared" ref="Q5:Q13" ca="1" si="0">SUM(B5:P5)</f>
        <v>11077.76272795351</v>
      </c>
    </row>
    <row r="6" spans="1:17">
      <c r="A6" s="477" t="s">
        <v>194</v>
      </c>
      <c r="B6" s="478">
        <f>'openbare verlichting'!B8</f>
        <v>643.99199999999996</v>
      </c>
      <c r="C6" s="478"/>
      <c r="D6" s="478"/>
      <c r="E6" s="478"/>
      <c r="F6" s="478"/>
      <c r="G6" s="478"/>
      <c r="H6" s="478"/>
      <c r="I6" s="478"/>
      <c r="J6" s="478"/>
      <c r="K6" s="478"/>
      <c r="L6" s="478"/>
      <c r="M6" s="478"/>
      <c r="N6" s="478"/>
      <c r="O6" s="478"/>
      <c r="P6" s="479"/>
      <c r="Q6" s="477">
        <f t="shared" si="0"/>
        <v>643.99199999999996</v>
      </c>
    </row>
    <row r="7" spans="1:17">
      <c r="A7" s="477" t="s">
        <v>112</v>
      </c>
      <c r="B7" s="478">
        <f>landbouw!B8</f>
        <v>606.91</v>
      </c>
      <c r="C7" s="478">
        <f>landbouw!C8</f>
        <v>0</v>
      </c>
      <c r="D7" s="478">
        <f>landbouw!D8</f>
        <v>93.588814000000013</v>
      </c>
      <c r="E7" s="478">
        <f>landbouw!E8</f>
        <v>15.649878635013019</v>
      </c>
      <c r="F7" s="478">
        <f>landbouw!F8</f>
        <v>2218.371630394935</v>
      </c>
      <c r="G7" s="478">
        <f>landbouw!G8</f>
        <v>0</v>
      </c>
      <c r="H7" s="478">
        <f>landbouw!H8</f>
        <v>0</v>
      </c>
      <c r="I7" s="478">
        <f>landbouw!I8</f>
        <v>0</v>
      </c>
      <c r="J7" s="478">
        <f>landbouw!J8</f>
        <v>87.372713809955172</v>
      </c>
      <c r="K7" s="478">
        <f>landbouw!K8</f>
        <v>0</v>
      </c>
      <c r="L7" s="478">
        <f>landbouw!L8</f>
        <v>0</v>
      </c>
      <c r="M7" s="478">
        <f>landbouw!M8</f>
        <v>0</v>
      </c>
      <c r="N7" s="478">
        <f>landbouw!N8</f>
        <v>0</v>
      </c>
      <c r="O7" s="478">
        <f>landbouw!O8</f>
        <v>0</v>
      </c>
      <c r="P7" s="479">
        <f>landbouw!P8</f>
        <v>0</v>
      </c>
      <c r="Q7" s="477">
        <f t="shared" si="0"/>
        <v>3021.8930368399033</v>
      </c>
    </row>
    <row r="8" spans="1:17">
      <c r="A8" s="477" t="s">
        <v>638</v>
      </c>
      <c r="B8" s="478">
        <f>industrie!B18</f>
        <v>740.16500000000008</v>
      </c>
      <c r="C8" s="478">
        <f>industrie!C18</f>
        <v>0</v>
      </c>
      <c r="D8" s="478">
        <f>industrie!D18</f>
        <v>418.21500600000002</v>
      </c>
      <c r="E8" s="478">
        <f>industrie!E18</f>
        <v>120.43519828777711</v>
      </c>
      <c r="F8" s="478">
        <f>industrie!F18</f>
        <v>451.50989016328532</v>
      </c>
      <c r="G8" s="478">
        <f>industrie!G18</f>
        <v>0</v>
      </c>
      <c r="H8" s="478">
        <f>industrie!H18</f>
        <v>0</v>
      </c>
      <c r="I8" s="478">
        <f>industrie!I18</f>
        <v>0</v>
      </c>
      <c r="J8" s="478">
        <f>industrie!J18</f>
        <v>0.26678085143853764</v>
      </c>
      <c r="K8" s="478">
        <f>industrie!K18</f>
        <v>0</v>
      </c>
      <c r="L8" s="478">
        <f>industrie!L18</f>
        <v>0</v>
      </c>
      <c r="M8" s="478">
        <f>industrie!M18</f>
        <v>0</v>
      </c>
      <c r="N8" s="478">
        <f>industrie!N18</f>
        <v>233.51476514217308</v>
      </c>
      <c r="O8" s="478">
        <f>industrie!O18</f>
        <v>0</v>
      </c>
      <c r="P8" s="479">
        <f>industrie!P18</f>
        <v>0</v>
      </c>
      <c r="Q8" s="477">
        <f t="shared" si="0"/>
        <v>1964.1066404446742</v>
      </c>
    </row>
    <row r="9" spans="1:17" s="483" customFormat="1">
      <c r="A9" s="481" t="s">
        <v>564</v>
      </c>
      <c r="B9" s="482">
        <f>transport!B14</f>
        <v>10.717562050165675</v>
      </c>
      <c r="C9" s="482"/>
      <c r="D9" s="482">
        <f>transport!D14</f>
        <v>26.292650727889534</v>
      </c>
      <c r="E9" s="482">
        <f>transport!E14</f>
        <v>100.07453392504073</v>
      </c>
      <c r="F9" s="482"/>
      <c r="G9" s="482">
        <f>transport!G14</f>
        <v>32034.421988242084</v>
      </c>
      <c r="H9" s="482">
        <f>transport!H14</f>
        <v>7026.7538568044029</v>
      </c>
      <c r="I9" s="482"/>
      <c r="J9" s="482"/>
      <c r="K9" s="482"/>
      <c r="L9" s="482"/>
      <c r="M9" s="482">
        <f>transport!M14</f>
        <v>1219.8002518096778</v>
      </c>
      <c r="N9" s="482"/>
      <c r="O9" s="482"/>
      <c r="P9" s="482"/>
      <c r="Q9" s="481">
        <f>SUM(B9:P9)</f>
        <v>40418.060843559259</v>
      </c>
    </row>
    <row r="10" spans="1:17">
      <c r="A10" s="477" t="s">
        <v>554</v>
      </c>
      <c r="B10" s="478">
        <f>transport!B54</f>
        <v>0</v>
      </c>
      <c r="C10" s="478"/>
      <c r="D10" s="478">
        <f>transport!D54</f>
        <v>0</v>
      </c>
      <c r="E10" s="478"/>
      <c r="F10" s="478"/>
      <c r="G10" s="478">
        <f>transport!G54</f>
        <v>789.69347953782403</v>
      </c>
      <c r="H10" s="478"/>
      <c r="I10" s="478"/>
      <c r="J10" s="478"/>
      <c r="K10" s="478"/>
      <c r="L10" s="478"/>
      <c r="M10" s="478">
        <f>transport!M54</f>
        <v>24.494525047155765</v>
      </c>
      <c r="N10" s="478"/>
      <c r="O10" s="478"/>
      <c r="P10" s="479"/>
      <c r="Q10" s="477">
        <f t="shared" si="0"/>
        <v>814.18800458497981</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23631.824617598788</v>
      </c>
      <c r="C14" s="488">
        <f t="shared" ref="C14:Q14" ca="1" si="1">SUM(C4:C13)</f>
        <v>0</v>
      </c>
      <c r="D14" s="488">
        <f t="shared" ca="1" si="1"/>
        <v>18325.397562727889</v>
      </c>
      <c r="E14" s="488">
        <f t="shared" si="1"/>
        <v>4954.1677008927927</v>
      </c>
      <c r="F14" s="488">
        <f t="shared" ca="1" si="1"/>
        <v>38429.435904098747</v>
      </c>
      <c r="G14" s="488">
        <f t="shared" si="1"/>
        <v>32824.115467779906</v>
      </c>
      <c r="H14" s="488">
        <f t="shared" si="1"/>
        <v>7026.7538568044029</v>
      </c>
      <c r="I14" s="488">
        <f t="shared" si="1"/>
        <v>0</v>
      </c>
      <c r="J14" s="488">
        <f t="shared" si="1"/>
        <v>1585.8411725140265</v>
      </c>
      <c r="K14" s="488">
        <f t="shared" si="1"/>
        <v>0</v>
      </c>
      <c r="L14" s="488">
        <f t="shared" ca="1" si="1"/>
        <v>0</v>
      </c>
      <c r="M14" s="488">
        <f t="shared" si="1"/>
        <v>1244.2947768568336</v>
      </c>
      <c r="N14" s="488">
        <f t="shared" ca="1" si="1"/>
        <v>9856.4893734053239</v>
      </c>
      <c r="O14" s="488">
        <f t="shared" si="1"/>
        <v>117.25000000000001</v>
      </c>
      <c r="P14" s="489">
        <f t="shared" si="1"/>
        <v>800.8</v>
      </c>
      <c r="Q14" s="489">
        <f t="shared" ca="1" si="1"/>
        <v>138796.37043267873</v>
      </c>
    </row>
    <row r="16" spans="1:17">
      <c r="A16" s="491" t="s">
        <v>559</v>
      </c>
      <c r="B16" s="841">
        <f ca="1">huishoudens!B10</f>
        <v>0.20514305392933493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3377.8346619184686</v>
      </c>
      <c r="C21" s="478">
        <f t="shared" ref="C21:C28" ca="1" si="3">C4*$C$16</f>
        <v>0</v>
      </c>
      <c r="D21" s="478">
        <f t="shared" ref="D21:D30" si="4">D4*$D$16</f>
        <v>2792.1279859440001</v>
      </c>
      <c r="E21" s="478">
        <f t="shared" ref="E21:E30" si="5">E4*$E$16</f>
        <v>1049.1994349594554</v>
      </c>
      <c r="F21" s="478">
        <f t="shared" ref="F21:F28" si="6">F4*$F$16</f>
        <v>9219.9852227557876</v>
      </c>
      <c r="G21" s="478">
        <f t="shared" ref="G21:G30" si="7">G4*$G$16</f>
        <v>0</v>
      </c>
      <c r="H21" s="478">
        <f t="shared" ref="H21:H30" si="8">H4*$H$16</f>
        <v>0</v>
      </c>
      <c r="I21" s="478">
        <f t="shared" ref="I21:I28" si="9">I4*$I$16</f>
        <v>0</v>
      </c>
      <c r="J21" s="478">
        <f t="shared" ref="J21:J28" si="10">J4*$J$16</f>
        <v>530.36339395983191</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16969.510699537543</v>
      </c>
    </row>
    <row r="22" spans="1:17">
      <c r="A22" s="477" t="s">
        <v>156</v>
      </c>
      <c r="B22" s="478">
        <f t="shared" ca="1" si="2"/>
        <v>1059.4178116906171</v>
      </c>
      <c r="C22" s="478">
        <f t="shared" ca="1" si="3"/>
        <v>0</v>
      </c>
      <c r="D22" s="478">
        <f t="shared" ca="1" si="4"/>
        <v>800.90683464000017</v>
      </c>
      <c r="E22" s="478">
        <f t="shared" si="5"/>
        <v>21.78840148075092</v>
      </c>
      <c r="F22" s="478">
        <f t="shared" ca="1" si="6"/>
        <v>327.81579764953494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2209.9288454609032</v>
      </c>
    </row>
    <row r="23" spans="1:17">
      <c r="A23" s="477" t="s">
        <v>194</v>
      </c>
      <c r="B23" s="478">
        <f t="shared" ca="1" si="2"/>
        <v>132.11048558606026</v>
      </c>
      <c r="C23" s="478"/>
      <c r="D23" s="478"/>
      <c r="E23" s="478"/>
      <c r="F23" s="478"/>
      <c r="G23" s="478"/>
      <c r="H23" s="478"/>
      <c r="I23" s="478"/>
      <c r="J23" s="478"/>
      <c r="K23" s="478"/>
      <c r="L23" s="478"/>
      <c r="M23" s="478"/>
      <c r="N23" s="478"/>
      <c r="O23" s="478"/>
      <c r="P23" s="479"/>
      <c r="Q23" s="477">
        <f t="shared" ca="1" si="17"/>
        <v>132.11048558606026</v>
      </c>
    </row>
    <row r="24" spans="1:17">
      <c r="A24" s="477" t="s">
        <v>112</v>
      </c>
      <c r="B24" s="478">
        <f t="shared" ca="1" si="2"/>
        <v>124.50337086025266</v>
      </c>
      <c r="C24" s="478">
        <f t="shared" ca="1" si="3"/>
        <v>0</v>
      </c>
      <c r="D24" s="478">
        <f t="shared" si="4"/>
        <v>18.904940428000003</v>
      </c>
      <c r="E24" s="478">
        <f t="shared" si="5"/>
        <v>3.5525224501479555</v>
      </c>
      <c r="F24" s="478">
        <f t="shared" si="6"/>
        <v>592.30522531544773</v>
      </c>
      <c r="G24" s="478">
        <f t="shared" si="7"/>
        <v>0</v>
      </c>
      <c r="H24" s="478">
        <f t="shared" si="8"/>
        <v>0</v>
      </c>
      <c r="I24" s="478">
        <f t="shared" si="9"/>
        <v>0</v>
      </c>
      <c r="J24" s="478">
        <f t="shared" si="10"/>
        <v>30.92994068872413</v>
      </c>
      <c r="K24" s="478">
        <f t="shared" si="11"/>
        <v>0</v>
      </c>
      <c r="L24" s="478">
        <f t="shared" si="12"/>
        <v>0</v>
      </c>
      <c r="M24" s="478">
        <f t="shared" si="13"/>
        <v>0</v>
      </c>
      <c r="N24" s="478">
        <f t="shared" si="14"/>
        <v>0</v>
      </c>
      <c r="O24" s="478">
        <f t="shared" si="15"/>
        <v>0</v>
      </c>
      <c r="P24" s="479">
        <f t="shared" si="16"/>
        <v>0</v>
      </c>
      <c r="Q24" s="477">
        <f t="shared" ca="1" si="17"/>
        <v>770.19599974257255</v>
      </c>
    </row>
    <row r="25" spans="1:17">
      <c r="A25" s="477" t="s">
        <v>638</v>
      </c>
      <c r="B25" s="478">
        <f t="shared" ca="1" si="2"/>
        <v>151.8397085116062</v>
      </c>
      <c r="C25" s="478">
        <f t="shared" ca="1" si="3"/>
        <v>0</v>
      </c>
      <c r="D25" s="478">
        <f t="shared" si="4"/>
        <v>84.479431212000009</v>
      </c>
      <c r="E25" s="478">
        <f t="shared" si="5"/>
        <v>27.338790011325404</v>
      </c>
      <c r="F25" s="478">
        <f t="shared" si="6"/>
        <v>120.55314067359718</v>
      </c>
      <c r="G25" s="478">
        <f t="shared" si="7"/>
        <v>0</v>
      </c>
      <c r="H25" s="478">
        <f t="shared" si="8"/>
        <v>0</v>
      </c>
      <c r="I25" s="478">
        <f t="shared" si="9"/>
        <v>0</v>
      </c>
      <c r="J25" s="478">
        <f t="shared" si="10"/>
        <v>9.4440421409242317E-2</v>
      </c>
      <c r="K25" s="478">
        <f t="shared" si="11"/>
        <v>0</v>
      </c>
      <c r="L25" s="478">
        <f t="shared" si="12"/>
        <v>0</v>
      </c>
      <c r="M25" s="478">
        <f t="shared" si="13"/>
        <v>0</v>
      </c>
      <c r="N25" s="478">
        <f t="shared" si="14"/>
        <v>0</v>
      </c>
      <c r="O25" s="478">
        <f t="shared" si="15"/>
        <v>0</v>
      </c>
      <c r="P25" s="479">
        <f t="shared" si="16"/>
        <v>0</v>
      </c>
      <c r="Q25" s="477">
        <f t="shared" ca="1" si="17"/>
        <v>384.30551082993799</v>
      </c>
    </row>
    <row r="26" spans="1:17" s="483" customFormat="1">
      <c r="A26" s="481" t="s">
        <v>564</v>
      </c>
      <c r="B26" s="835">
        <f t="shared" ca="1" si="2"/>
        <v>2.1986334096481306</v>
      </c>
      <c r="C26" s="482"/>
      <c r="D26" s="482">
        <f t="shared" si="4"/>
        <v>5.3111154470336865</v>
      </c>
      <c r="E26" s="482">
        <f t="shared" si="5"/>
        <v>22.716919200984247</v>
      </c>
      <c r="F26" s="482"/>
      <c r="G26" s="482">
        <f t="shared" si="7"/>
        <v>8553.1906708606366</v>
      </c>
      <c r="H26" s="482">
        <f t="shared" si="8"/>
        <v>1749.6617103442964</v>
      </c>
      <c r="I26" s="482"/>
      <c r="J26" s="482"/>
      <c r="K26" s="482"/>
      <c r="L26" s="482"/>
      <c r="M26" s="482">
        <f t="shared" si="13"/>
        <v>0</v>
      </c>
      <c r="N26" s="482"/>
      <c r="O26" s="482"/>
      <c r="P26" s="493"/>
      <c r="Q26" s="481">
        <f t="shared" ca="1" si="17"/>
        <v>10333.0790492626</v>
      </c>
    </row>
    <row r="27" spans="1:17">
      <c r="A27" s="477" t="s">
        <v>554</v>
      </c>
      <c r="B27" s="478">
        <f t="shared" ca="1" si="2"/>
        <v>0</v>
      </c>
      <c r="C27" s="478"/>
      <c r="D27" s="482">
        <f t="shared" si="4"/>
        <v>0</v>
      </c>
      <c r="E27" s="478"/>
      <c r="F27" s="478"/>
      <c r="G27" s="478">
        <f t="shared" si="7"/>
        <v>210.84815903659901</v>
      </c>
      <c r="H27" s="478"/>
      <c r="I27" s="478"/>
      <c r="J27" s="478"/>
      <c r="K27" s="478"/>
      <c r="L27" s="478"/>
      <c r="M27" s="478">
        <f t="shared" si="13"/>
        <v>0</v>
      </c>
      <c r="N27" s="478"/>
      <c r="O27" s="478"/>
      <c r="P27" s="479"/>
      <c r="Q27" s="477">
        <f t="shared" ca="1" si="17"/>
        <v>210.84815903659901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4847.9046719766529</v>
      </c>
      <c r="C31" s="488">
        <f t="shared" ca="1" si="18"/>
        <v>0</v>
      </c>
      <c r="D31" s="488">
        <f t="shared" ca="1" si="18"/>
        <v>3701.7303076710336</v>
      </c>
      <c r="E31" s="488">
        <f t="shared" si="18"/>
        <v>1124.596068102664</v>
      </c>
      <c r="F31" s="488">
        <f t="shared" ca="1" si="18"/>
        <v>10260.659386394367</v>
      </c>
      <c r="G31" s="488">
        <f t="shared" si="18"/>
        <v>8764.0388298972357</v>
      </c>
      <c r="H31" s="488">
        <f t="shared" si="18"/>
        <v>1749.6617103442964</v>
      </c>
      <c r="I31" s="488">
        <f t="shared" si="18"/>
        <v>0</v>
      </c>
      <c r="J31" s="488">
        <f t="shared" si="18"/>
        <v>561.3877750699653</v>
      </c>
      <c r="K31" s="488">
        <f t="shared" si="18"/>
        <v>0</v>
      </c>
      <c r="L31" s="488">
        <f t="shared" ca="1" si="18"/>
        <v>0</v>
      </c>
      <c r="M31" s="488">
        <f t="shared" si="18"/>
        <v>0</v>
      </c>
      <c r="N31" s="488">
        <f t="shared" ca="1" si="18"/>
        <v>0</v>
      </c>
      <c r="O31" s="488">
        <f t="shared" si="18"/>
        <v>0</v>
      </c>
      <c r="P31" s="489">
        <f t="shared" si="18"/>
        <v>0</v>
      </c>
      <c r="Q31" s="489">
        <f t="shared" ca="1" si="18"/>
        <v>31009.978749456215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0.20514305392933493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0.20514305392933493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0.20514305392933493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2019-01-01T21:24:44Z</dcterms:modified>
</cp:coreProperties>
</file>