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H14" i="22" l="1"/>
  <c r="I19" i="14" s="1"/>
  <c r="I20" s="1"/>
  <c r="I23" s="1"/>
  <c r="I14" i="48"/>
  <c r="Q41" i="14"/>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0" i="13" s="1"/>
  <c r="C16" i="48" s="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F8" i="48"/>
  <c r="Q4"/>
  <c r="N22"/>
  <c r="R11" i="14"/>
  <c r="J21" i="48"/>
  <c r="R10" i="14"/>
  <c r="C17" i="19" l="1"/>
  <c r="C19" s="1"/>
  <c r="D35" i="14" s="1"/>
  <c r="C29" i="20"/>
  <c r="C17" i="49"/>
  <c r="C56" i="22"/>
  <c r="C58" s="1"/>
  <c r="D44" i="14" s="1"/>
  <c r="D46" s="1"/>
  <c r="C10" i="17"/>
  <c r="C12" s="1"/>
  <c r="D48" i="14" s="1"/>
  <c r="C16" i="22"/>
  <c r="N22" i="16"/>
  <c r="O39" i="14" s="1"/>
  <c r="O41" s="1"/>
  <c r="F13"/>
  <c r="F15" s="1"/>
  <c r="F23"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<sst xmlns="http://schemas.openxmlformats.org/spreadsheetml/2006/main" count="2120" uniqueCount="861">
  <si>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</si>
  <si>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</si>
  <si>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</si>
  <si>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</si>
  <si>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</si>
  <si>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</si>
  <si>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</si>
  <si>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</si>
  <si>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</si>
  <si>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</si>
  <si>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</si>
  <si>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</si>
  <si>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</si>
  <si>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</si>
  <si>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</si>
  <si>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</si>
  <si>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</si>
  <si>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</si>
  <si>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</si>
  <si>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</si>
  <si>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</si>
  <si>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</si>
  <si>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</si>
  <si>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</si>
  <si>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</si>
  <si>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</si>
  <si>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</si>
  <si>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</si>
  <si>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</si>
  <si>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</si>
  <si>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</si>
  <si>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</si>
  <si>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</si>
  <si>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</si>
  <si>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</si>
  <si>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</si>
  <si>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</si>
  <si>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</si>
  <si>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</si>
  <si>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</si>
  <si>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</si>
  <si>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</si>
  <si>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</si>
  <si>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</si>
  <si>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</si>
  <si>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</si>
  <si>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</si>
  <si>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</si>
  <si>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</si>
  <si>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</si>
  <si>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</si>
  <si>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</si>
  <si>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</si>
  <si>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</si>
  <si>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</si>
  <si>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</si>
  <si>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</si>
  <si>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</si>
  <si>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</si>
  <si>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</si>
  <si>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</si>
  <si>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</si>
  <si>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</si>
  <si>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</si>
  <si>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</si>
  <si>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</si>
  <si>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</si>
  <si>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</si>
  <si>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</si>
  <si>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</si>
  <si>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</si>
  <si>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</si>
  <si>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</si>
  <si>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</si>
  <si>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</si>
  <si>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</si>
  <si>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</si>
  <si>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</si>
  <si>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</si>
  <si>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</si>
  <si>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</si>
  <si>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</si>
  <si>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</si>
  <si>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</si>
  <si>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</si>
  <si>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</si>
  <si>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</si>
  <si>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</si>
  <si>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</si>
  <si>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</si>
  <si>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</si>
  <si>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</si>
  <si>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</si>
  <si>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</si>
  <si>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</si>
  <si>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</si>
  <si>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</si>
  <si>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</si>
  <si>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</si>
  <si>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</si>
  <si>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</si>
  <si>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</si>
  <si>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</si>
  <si>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</si>
  <si>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</si>
  <si>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</si>
  <si>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</si>
  <si>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</si>
  <si>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</si>
  <si>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</si>
  <si>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</si>
  <si>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</si>
  <si>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</si>
  <si>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</si>
  <si>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</si>
  <si>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</si>
  <si>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</si>
  <si>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</si>
  <si>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</si>
  <si>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</si>
  <si>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</si>
  <si>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</si>
  <si>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</si>
  <si>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</si>
  <si>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</si>
  <si>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</si>
  <si>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</si>
  <si>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</si>
  <si>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</si>
  <si>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</si>
  <si>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</si>
  <si>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</si>
  <si>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</si>
  <si>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</si>
  <si>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</si>
  <si>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</si>
  <si>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</si>
  <si>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</si>
  <si>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</si>
  <si>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</si>
  <si>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</si>
  <si>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</si>
  <si>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</si>
  <si>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</si>
  <si>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</si>
  <si>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</si>
  <si>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</si>
  <si>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</si>
  <si>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</si>
  <si>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</si>
  <si>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</si>
  <si>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</si>
  <si>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</si>
  <si>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</si>
  <si>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</si>
  <si>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</si>
  <si>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</si>
  <si>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</si>
  <si>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</si>
  <si>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</si>
  <si>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</si>
  <si>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</si>
  <si>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</si>
  <si>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</si>
  <si>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</si>
  <si>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</si>
  <si>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</si>
  <si>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</si>
  <si>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</si>
  <si>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</si>
  <si>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</si>
  <si>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</si>
  <si>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</si>
  <si>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</si>
  <si>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</si>
  <si>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</si>
  <si>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</si>
  <si>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</si>
  <si>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</si>
  <si>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</si>
  <si>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</si>
  <si>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</si>
  <si>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</si>
  <si>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</si>
  <si>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</si>
  <si>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</si>
  <si>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</si>
  <si>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</si>
  <si>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</si>
  <si>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</si>
  <si>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</si>
  <si>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</si>
  <si>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</si>
  <si>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</si>
  <si>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</si>
  <si>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</si>
  <si>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</si>
  <si>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</si>
  <si>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</si>
  <si>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</si>
  <si>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</si>
  <si>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</si>
  <si>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</si>
  <si>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</si>
  <si>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</si>
  <si>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</si>
  <si>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</si>
  <si>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</si>
  <si>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</si>
  <si>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</si>
  <si>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</si>
  <si>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</si>
  <si>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</si>
  <si>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</si>
  <si>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</si>
  <si>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</si>
  <si>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</si>
  <si>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</si>
  <si>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</si>
  <si>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</si>
  <si>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</si>
  <si>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</si>
  <si>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</si>
  <si>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</si>
  <si>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</si>
  <si>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</si>
  <si>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</si>
  <si>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</si>
  <si>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</si>
  <si>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</si>
  <si>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</si>
  <si>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</si>
  <si>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</si>
  <si>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</si>
  <si>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</si>
  <si>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</si>
  <si>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</si>
  <si>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</si>
  <si>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</si>
  <si>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</si>
  <si>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</si>
  <si>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</si>
  <si>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</si>
  <si>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</si>
  <si>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</si>
  <si>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</si>
  <si>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</si>
  <si>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</si>
  <si>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</si>
  <si>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</si>
  <si>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</si>
  <si>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</si>
  <si>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</si>
  <si>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</si>
  <si>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</si>
  <si>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</si>
  <si>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</si>
  <si>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</si>
  <si>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</si>
  <si>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</si>
  <si>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</si>
  <si>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</si>
  <si>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</si>
  <si>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</si>
  <si>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</si>
  <si>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</si>
  <si>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</si>
  <si>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</si>
  <si>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</si>
  <si>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</si>
  <si>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</si>
  <si>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</si>
  <si>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</si>
  <si>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</si>
  <si>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</si>
  <si>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</si>
  <si>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</si>
  <si>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</si>
  <si>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</si>
  <si>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</si>
  <si>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</si>
  <si>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</si>
  <si>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</si>
  <si>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</si>
  <si>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</si>
  <si>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</si>
  <si>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</si>
  <si>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</si>
  <si>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</si>
  <si>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</si>
  <si>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</si>
  <si>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</si>
  <si>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</si>
  <si>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</si>
  <si>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</si>
  <si>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</si>
  <si>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</si>
  <si>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</si>
  <si>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</si>
  <si>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</si>
  <si>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</si>
  <si>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</si>
  <si>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</si>
  <si>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</si>
  <si>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</si>
  <si>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</si>
  <si>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</si>
  <si>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</si>
  <si>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</si>
  <si>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</si>
  <si>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</si>
  <si>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</si>
  <si>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</si>
  <si>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</si>
  <si>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</si>
  <si>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</si>
  <si>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</si>
  <si>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</si>
  <si>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</si>
  <si>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</si>
  <si>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</si>
  <si>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</si>
  <si>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</si>
  <si>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</si>
  <si>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</si>
  <si>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</si>
  <si>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</si>
  <si>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</si>
  <si>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</si>
  <si>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</si>
  <si>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</si>
  <si>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</si>
  <si>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</si>
  <si>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</si>
  <si>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</si>
  <si>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</si>
  <si>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</si>
  <si>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</si>
  <si>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</si>
  <si>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</si>
  <si>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</si>
  <si>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</si>
  <si>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</si>
  <si>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</si>
  <si>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</si>
  <si>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</si>
  <si>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</si>
  <si>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</si>
  <si>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</si>
  <si>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</si>
  <si>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</si>
  <si>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</si>
  <si>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</si>
  <si>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</si>
  <si>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</si>
  <si>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</si>
  <si>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</si>
  <si>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</si>
  <si>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</si>
  <si>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</si>
  <si>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</si>
  <si>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</si>
  <si>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</si>
  <si>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</si>
  <si>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</si>
  <si>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</si>
  <si>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</si>
  <si>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</si>
  <si>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</si>
  <si>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</si>
  <si>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</si>
  <si>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</si>
  <si>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</si>
  <si>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</si>
  <si>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</si>
  <si>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</si>
  <si>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</si>
  <si>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</si>
  <si>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</si>
  <si>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</si>
  <si>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</si>
  <si>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</si>
  <si>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</si>
  <si>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</si>
  <si>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</si>
  <si>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</si>
  <si>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</si>
  <si>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</si>
  <si>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</si>
  <si>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</si>
  <si>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</si>
  <si>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</si>
  <si>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</si>
  <si>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</si>
  <si>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</si>
  <si>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</si>
  <si>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</si>
  <si>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</si>
  <si>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</si>
  <si>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</si>
  <si>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</si>
  <si>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</si>
  <si>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</si>
  <si>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</si>
  <si>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</si>
  <si>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</si>
  <si>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</si>
  <si>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</si>
  <si>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</si>
  <si>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</si>
  <si>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</si>
  <si>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</si>
  <si>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</si>
  <si>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</si>
  <si>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</si>
  <si>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</si>
  <si>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</si>
  <si>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</si>
  <si>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</si>
  <si>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</si>
  <si>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</si>
  <si>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</si>
  <si>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</si>
  <si>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</si>
  <si>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</si>
  <si>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</si>
  <si>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</si>
  <si>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</si>
  <si>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</si>
  <si>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</si>
  <si>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</si>
  <si>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</si>
  <si>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</si>
  <si>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</si>
  <si>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</si>
  <si>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</si>
  <si>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</si>
  <si>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</si>
  <si>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</si>
  <si>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</si>
  <si>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</si>
  <si>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</si>
  <si>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</si>
  <si>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</si>
  <si>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</si>
  <si>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</si>
  <si>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</si>
  <si>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</si>
  <si>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</si>
  <si>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</si>
  <si>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</si>
  <si>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</si>
  <si>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</si>
  <si>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</si>
  <si>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</si>
  <si>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</si>
  <si>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</si>
  <si>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</si>
  <si>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</si>
  <si>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</si>
  <si>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</si>
  <si>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</si>
  <si>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</si>
  <si>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</si>
  <si>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</si>
  <si>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</si>
  <si>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</si>
  <si>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</si>
  <si>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</si>
  <si>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</si>
  <si>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</si>
  <si>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</si>
  <si>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</si>
  <si>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</si>
  <si>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</si>
  <si>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</si>
  <si>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</si>
  <si>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</si>
  <si>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</si>
  <si>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</si>
  <si>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</si>
  <si>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</si>
  <si>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</si>
  <si>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</si>
  <si>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</si>
  <si>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</si>
  <si>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</si>
  <si>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</si>
  <si>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</si>
  <si>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</si>
  <si>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</si>
  <si>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</si>
  <si>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</si>
  <si>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</si>
  <si>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</si>
  <si>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</si>
  <si>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</si>
  <si>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</si>
  <si>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</si>
  <si>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</si>
  <si>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</si>
  <si>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</si>
  <si>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</si>
  <si>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</si>
  <si>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</si>
  <si>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</si>
  <si>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</si>
  <si>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</si>
  <si>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</si>
  <si>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</si>
  <si>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</si>
  <si>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</si>
  <si>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</si>
  <si>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</si>
  <si>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</si>
  <si>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</si>
  <si>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</si>
  <si>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</si>
  <si>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</si>
  <si>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</si>
  <si>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</si>
  <si>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</si>
  <si>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</si>
  <si>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</si>
  <si>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</si>
  <si>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</si>
  <si>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</si>
  <si>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</si>
  <si>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</si>
  <si>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</si>
  <si>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</si>
  <si>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</si>
  <si>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</si>
  <si>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</si>
  <si>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</si>
  <si>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</si>
  <si>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</si>
  <si>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</si>
  <si>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</si>
  <si>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</si>
  <si>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</si>
  <si>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</si>
  <si>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</si>
  <si>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</si>
  <si>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</si>
  <si>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</si>
  <si>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</si>
  <si>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</si>
  <si>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</si>
  <si>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</si>
  <si>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</si>
  <si>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</si>
  <si>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</si>
  <si>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</si>
  <si>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</si>
  <si>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</si>
  <si>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</si>
  <si>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</si>
  <si>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</si>
  <si>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</si>
  <si>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</si>
  <si>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</si>
  <si>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</si>
  <si>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</si>
  <si>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</si>
  <si>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</si>
  <si>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</si>
  <si>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</si>
  <si>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</si>
  <si>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</si>
  <si>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</si>
  <si>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</si>
  <si>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</si>
  <si>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</si>
  <si>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</si>
  <si>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</si>
  <si>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</si>
  <si>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</si>
  <si>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</si>
  <si>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</si>
  <si>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</si>
  <si>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</si>
  <si>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</si>
  <si>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</si>
  <si>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</si>
  <si>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</si>
  <si>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</si>
  <si>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</si>
  <si>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</si>
  <si>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</si>
  <si>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</si>
  <si>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</si>
  <si>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</si>
  <si>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</si>
  <si>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</si>
  <si>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</si>
  <si>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</si>
  <si>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</si>
  <si>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</si>
  <si>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</si>
  <si>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</si>
  <si>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</si>
  <si>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</si>
  <si>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</si>
  <si>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</si>
  <si>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</si>
  <si>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</si>
  <si>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</si>
  <si>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</si>
  <si>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</si>
  <si>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</si>
  <si>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</si>
  <si>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</si>
  <si>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</si>
  <si>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</si>
  <si>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</si>
  <si>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</si>
  <si>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</si>
  <si>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</si>
  <si>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</si>
  <si>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</si>
  <si>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</si>
  <si>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</si>
  <si>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</si>
  <si>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</si>
  <si>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</si>
  <si>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</si>
  <si>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</si>
  <si>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</si>
  <si>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</si>
  <si>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</si>
  <si>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</si>
  <si>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</si>
  <si>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</si>
  <si>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</si>
  <si>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</si>
  <si>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</si>
  <si>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</si>
  <si>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</si>
  <si>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</si>
  <si>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</si>
  <si>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</si>
  <si>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</si>
  <si>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</si>
  <si>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</si>
  <si>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</si>
  <si>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</si>
  <si>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</si>
  <si>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</si>
  <si>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</si>
  <si>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</si>
  <si>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</si>
  <si>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</si>
  <si>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</si>
  <si>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</si>
  <si>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</si>
  <si>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</si>
  <si>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</si>
  <si>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</si>
  <si>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</si>
  <si>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</si>
  <si>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</si>
  <si>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</si>
  <si>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</si>
  <si>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</si>
  <si>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</si>
  <si>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</si>
  <si>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</si>
  <si>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</si>
  <si>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</si>
  <si>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</si>
  <si>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</si>
  <si>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</si>
  <si>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</si>
  <si>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</si>
  <si>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</si>
  <si>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</si>
  <si>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</si>
  <si>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</si>
  <si>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</si>
  <si>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</si>
  <si>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</si>
  <si>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</si>
  <si>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</si>
  <si>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</si>
  <si>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</si>
  <si>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</si>
  <si>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</si>
  <si>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</si>
  <si>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</si>
  <si>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</si>
  <si>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</si>
  <si>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</si>
  <si>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</si>
  <si>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</si>
  <si>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</si>
  <si>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</si>
  <si>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</si>
  <si>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</si>
  <si>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</si>
  <si>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</si>
  <si>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</si>
  <si>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</si>
  <si>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</si>
  <si>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</si>
  <si>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</si>
  <si>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</si>
  <si>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</si>
  <si>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</si>
  <si>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</si>
  <si>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</si>
  <si>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</si>
  <si>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</si>
  <si>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</si>
  <si>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</si>
  <si>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</si>
  <si>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</si>
  <si>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</si>
  <si>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</si>
  <si>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</si>
  <si>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</si>
  <si>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</si>
  <si>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</si>
  <si>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</si>
  <si>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</si>
  <si>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</si>
  <si>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</si>
  <si>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</si>
  <si>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</si>
  <si>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</si>
  <si>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</si>
  <si>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</si>
  <si>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</si>
  <si>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</si>
  <si>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</si>
  <si>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</si>
  <si>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</si>
  <si>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</si>
  <si>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</si>
  <si>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</si>
  <si>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</si>
  <si>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</si>
  <si>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</si>
  <si>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</si>
  <si>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</si>
  <si>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</si>
  <si>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</si>
  <si>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</si>
  <si>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</si>
  <si>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</si>
  <si>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</si>
  <si>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</si>
  <si>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</si>
  <si>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</si>
  <si>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</si>
  <si>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</si>
  <si>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</si>
  <si>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</si>
  <si>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</si>
  <si>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</si>
  <si>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</si>
  <si>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</si>
  <si>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</si>
  <si>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</si>
  <si>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</si>
  <si>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</si>
  <si>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</si>
  <si>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</si>
  <si>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</si>
  <si>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</si>
  <si>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</si>
  <si>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</si>
  <si>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</si>
  <si>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</si>
  <si>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</si>
  <si>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</si>
  <si>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</si>
  <si>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</si>
  <si>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</si>
  <si>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</si>
  <si>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</si>
  <si>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</si>
  <si>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</si>
  <si>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</si>
  <si>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</si>
  <si>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</si>
  <si>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</si>
  <si>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</si>
  <si>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</si>
  <si>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</si>
  <si>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</si>
  <si>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</si>
  <si>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</si>
  <si>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</si>
  <si>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</si>
  <si>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</si>
  <si>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</si>
  <si>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</si>
  <si>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</si>
  <si>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</si>
  <si>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</si>
  <si>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</si>
  <si>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</si>
  <si>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</si>
  <si>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</si>
  <si>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</si>
  <si>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</si>
  <si>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</si>
  <si>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</si>
  <si>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</si>
  <si>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</si>
  <si>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</si>
  <si>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</si>
  <si>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</si>
  <si>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</si>
  <si>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</si>
  <si>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</si>
  <si>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</si>
  <si>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</si>
  <si>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</si>
  <si>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</si>
  <si>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</si>
  <si>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</si>
  <si>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</si>
  <si>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</si>
  <si>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</si>
  <si>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</si>
  <si>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</si>
  <si>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</si>
  <si>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</si>
  <si>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</si>
  <si>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</si>
  <si>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</si>
  <si>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</si>
  <si>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</si>
  <si>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</si>
  <si>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</si>
  <si>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</si>
  <si>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</si>
  <si>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</si>
  <si>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</si>
  <si>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</si>
  <si>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</si>
  <si>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</si>
  <si>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</si>
  <si>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</si>
  <si>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</si>
  <si>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13025</t>
  </si>
  <si>
    <t>MOL</t>
  </si>
  <si>
    <t>Paarden&amp;pony's 200 - 600 kg</t>
  </si>
  <si>
    <t>Paarden&amp;pony's &lt; 200 kg</t>
  </si>
  <si>
    <t>referentietaak LNE (2017); Jaarverslag De Lijn (2015)</t>
  </si>
  <si>
    <t>op basis van VEA (maart 2018) en Inventaris Hernieuwbare Energiebronnen (juni 2018)</t>
  </si>
  <si>
    <t>VEA (januari 2017)</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</si>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</sst>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293772.17293584964</c:v>
                </c:pt>
                <c:pt idx="1">
                  <c:v>201590.56260875298</c:v>
                </c:pt>
                <c:pt idx="2">
                  <c:v>1411.37</c:v>
                </c:pt>
                <c:pt idx="3">
                  <c:v>11767.497601895844</c:v>
                </c:pt>
                <c:pt idx="4">
                  <c:v>120774.52428815997</c:v>
                </c:pt>
                <c:pt idx="5">
                  <c:v>259736.98108739199</c:v>
                </c:pt>
                <c:pt idx="6">
                  <c:v>2874.7383362427927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293772.17293584964</c:v>
                </c:pt>
                <c:pt idx="1">
                  <c:v>201590.56260875298</c:v>
                </c:pt>
                <c:pt idx="2">
                  <c:v>1411.37</c:v>
                </c:pt>
                <c:pt idx="3">
                  <c:v>11767.497601895844</c:v>
                </c:pt>
                <c:pt idx="4">
                  <c:v>120774.52428815997</c:v>
                </c:pt>
                <c:pt idx="5">
                  <c:v>259736.98108739199</c:v>
                </c:pt>
                <c:pt idx="6">
                  <c:v>2874.7383362427927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55464.016077997279</c:v>
                </c:pt>
                <c:pt idx="1">
                  <c:v>41063.931582201658</c:v>
                </c:pt>
                <c:pt idx="2">
                  <c:v>291.10317860731169</c:v>
                </c:pt>
                <c:pt idx="3">
                  <c:v>2703.8467204216086</c:v>
                </c:pt>
                <c:pt idx="4">
                  <c:v>23269.39106994856</c:v>
                </c:pt>
                <c:pt idx="5">
                  <c:v>66540.892421443801</c:v>
                </c:pt>
                <c:pt idx="6">
                  <c:v>744.46354219833518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4576"/>
      </c:barChart>
      <c:catAx>
        <c:axId val="184260864"/>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55464.016077997279</c:v>
                </c:pt>
                <c:pt idx="1">
                  <c:v>41063.931582201658</c:v>
                </c:pt>
                <c:pt idx="2">
                  <c:v>291.10317860731169</c:v>
                </c:pt>
                <c:pt idx="3">
                  <c:v>2703.8467204216086</c:v>
                </c:pt>
                <c:pt idx="4">
                  <c:v>23269.39106994856</c:v>
                </c:pt>
                <c:pt idx="5">
                  <c:v>66540.892421443801</c:v>
                </c:pt>
                <c:pt idx="6">
                  <c:v>744.46354219833518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15191</v>
      </c>
      <c r="C9" s="342">
        <v>15911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3185.53</v>
      </c>
    </row>
    <row r="15" spans="1:6">
      <c r="A15" s="348" t="s">
        <v>184</v>
      </c>
      <c r="B15" s="334">
        <v>173</v>
      </c>
    </row>
    <row r="16" spans="1:6">
      <c r="A16" s="348" t="s">
        <v>6</v>
      </c>
      <c r="B16" s="334">
        <v>979</v>
      </c>
    </row>
    <row r="17" spans="1:6">
      <c r="A17" s="348" t="s">
        <v>7</v>
      </c>
      <c r="B17" s="334">
        <v>252</v>
      </c>
    </row>
    <row r="18" spans="1:6">
      <c r="A18" s="348" t="s">
        <v>8</v>
      </c>
      <c r="B18" s="334">
        <v>754</v>
      </c>
    </row>
    <row r="19" spans="1:6">
      <c r="A19" s="348" t="s">
        <v>9</v>
      </c>
      <c r="B19" s="334">
        <v>876</v>
      </c>
    </row>
    <row r="20" spans="1:6">
      <c r="A20" s="348" t="s">
        <v>10</v>
      </c>
      <c r="B20" s="334">
        <v>252</v>
      </c>
    </row>
    <row r="21" spans="1:6">
      <c r="A21" s="348" t="s">
        <v>11</v>
      </c>
      <c r="B21" s="334">
        <v>755</v>
      </c>
    </row>
    <row r="22" spans="1:6">
      <c r="A22" s="348" t="s">
        <v>12</v>
      </c>
      <c r="B22" s="334">
        <v>2817</v>
      </c>
    </row>
    <row r="23" spans="1:6">
      <c r="A23" s="348" t="s">
        <v>13</v>
      </c>
      <c r="B23" s="334">
        <v>27</v>
      </c>
    </row>
    <row r="24" spans="1:6">
      <c r="A24" s="348" t="s">
        <v>14</v>
      </c>
      <c r="B24" s="334">
        <v>1</v>
      </c>
    </row>
    <row r="25" spans="1:6">
      <c r="A25" s="348" t="s">
        <v>15</v>
      </c>
      <c r="B25" s="334">
        <v>228</v>
      </c>
    </row>
    <row r="26" spans="1:6">
      <c r="A26" s="348" t="s">
        <v>16</v>
      </c>
      <c r="B26" s="334">
        <v>1016</v>
      </c>
    </row>
    <row r="27" spans="1:6">
      <c r="A27" s="348" t="s">
        <v>17</v>
      </c>
      <c r="B27" s="334">
        <v>0</v>
      </c>
    </row>
    <row r="28" spans="1:6" s="356" customFormat="1">
      <c r="A28" s="355" t="s">
        <v>18</v>
      </c>
      <c r="B28" s="355">
        <v>59486</v>
      </c>
    </row>
    <row r="29" spans="1:6">
      <c r="A29" s="355" t="s">
        <v>849</v>
      </c>
      <c r="B29" s="355">
        <v>114</v>
      </c>
      <c r="C29" s="356"/>
      <c r="D29" s="356"/>
      <c r="E29" s="356"/>
      <c r="F29" s="356"/>
    </row>
    <row r="30" spans="1:6">
      <c r="A30" s="355" t="s">
        <v>850</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23644.334750999999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454879.08572999999</v>
      </c>
      <c r="E38" s="334">
        <v>4</v>
      </c>
      <c r="F38" s="334">
        <v>75838.757276000004</v>
      </c>
    </row>
    <row r="39" spans="1:6">
      <c r="A39" s="348" t="s">
        <v>30</v>
      </c>
      <c r="B39" s="348" t="s">
        <v>31</v>
      </c>
      <c r="C39" s="334">
        <v>9161</v>
      </c>
      <c r="D39" s="334">
        <v>139041221.03999999</v>
      </c>
      <c r="E39" s="334">
        <v>14915</v>
      </c>
      <c r="F39" s="334">
        <v>52561347.376999997</v>
      </c>
    </row>
    <row r="40" spans="1:6">
      <c r="A40" s="348" t="s">
        <v>30</v>
      </c>
      <c r="B40" s="348" t="s">
        <v>29</v>
      </c>
      <c r="C40" s="334">
        <v>0</v>
      </c>
      <c r="D40" s="334">
        <v>0</v>
      </c>
      <c r="E40" s="334">
        <v>1</v>
      </c>
      <c r="F40" s="334">
        <v>13284</v>
      </c>
    </row>
    <row r="41" spans="1:6">
      <c r="A41" s="348" t="s">
        <v>32</v>
      </c>
      <c r="B41" s="348" t="s">
        <v>33</v>
      </c>
      <c r="C41" s="334">
        <v>149</v>
      </c>
      <c r="D41" s="334">
        <v>9019165.1439999994</v>
      </c>
      <c r="E41" s="334">
        <v>289</v>
      </c>
      <c r="F41" s="334">
        <v>7388159.8859000001</v>
      </c>
    </row>
    <row r="42" spans="1:6">
      <c r="A42" s="348" t="s">
        <v>32</v>
      </c>
      <c r="B42" s="348" t="s">
        <v>34</v>
      </c>
      <c r="C42" s="334">
        <v>0</v>
      </c>
      <c r="D42" s="334">
        <v>0</v>
      </c>
      <c r="E42" s="334">
        <v>3</v>
      </c>
      <c r="F42" s="334">
        <v>9535.8052026999994</v>
      </c>
    </row>
    <row r="43" spans="1:6">
      <c r="A43" s="348" t="s">
        <v>32</v>
      </c>
      <c r="B43" s="348" t="s">
        <v>35</v>
      </c>
      <c r="C43" s="334">
        <v>0</v>
      </c>
      <c r="D43" s="334">
        <v>0</v>
      </c>
      <c r="E43" s="334">
        <v>0</v>
      </c>
      <c r="F43" s="334">
        <v>0</v>
      </c>
    </row>
    <row r="44" spans="1:6">
      <c r="A44" s="348" t="s">
        <v>32</v>
      </c>
      <c r="B44" s="348" t="s">
        <v>36</v>
      </c>
      <c r="C44" s="334">
        <v>0</v>
      </c>
      <c r="D44" s="334">
        <v>0</v>
      </c>
      <c r="E44" s="334">
        <v>34</v>
      </c>
      <c r="F44" s="334">
        <v>999310.21970000002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92482.423288000005</v>
      </c>
    </row>
    <row r="48" spans="1:6">
      <c r="A48" s="348" t="s">
        <v>32</v>
      </c>
      <c r="B48" s="348" t="s">
        <v>29</v>
      </c>
      <c r="C48" s="334">
        <v>39</v>
      </c>
      <c r="D48" s="334">
        <v>9381287.1801999994</v>
      </c>
      <c r="E48" s="334">
        <v>44</v>
      </c>
      <c r="F48" s="334">
        <v>55589976.502999999</v>
      </c>
    </row>
    <row r="49" spans="1:6">
      <c r="A49" s="348" t="s">
        <v>32</v>
      </c>
      <c r="B49" s="348" t="s">
        <v>40</v>
      </c>
      <c r="C49" s="334">
        <v>0</v>
      </c>
      <c r="D49" s="334">
        <v>0</v>
      </c>
      <c r="E49" s="334">
        <v>0</v>
      </c>
      <c r="F49" s="334">
        <v>0</v>
      </c>
    </row>
    <row r="50" spans="1:6">
      <c r="A50" s="348" t="s">
        <v>32</v>
      </c>
      <c r="B50" s="348" t="s">
        <v>41</v>
      </c>
      <c r="C50" s="334">
        <v>7</v>
      </c>
      <c r="D50" s="334">
        <v>678763.76815000002</v>
      </c>
      <c r="E50" s="334">
        <v>24</v>
      </c>
      <c r="F50" s="334">
        <v>892219.60086000001</v>
      </c>
    </row>
    <row r="51" spans="1:6">
      <c r="A51" s="348" t="s">
        <v>42</v>
      </c>
      <c r="B51" s="348" t="s">
        <v>43</v>
      </c>
      <c r="C51" s="334">
        <v>3</v>
      </c>
      <c r="D51" s="334">
        <v>98756.430600000007</v>
      </c>
      <c r="E51" s="334">
        <v>39</v>
      </c>
      <c r="F51" s="334">
        <v>953950.72608000005</v>
      </c>
    </row>
    <row r="52" spans="1:6">
      <c r="A52" s="348" t="s">
        <v>42</v>
      </c>
      <c r="B52" s="348" t="s">
        <v>29</v>
      </c>
      <c r="C52" s="334">
        <v>3</v>
      </c>
      <c r="D52" s="334">
        <v>66684.036229999998</v>
      </c>
      <c r="E52" s="334">
        <v>6</v>
      </c>
      <c r="F52" s="334">
        <v>282240.85382000002</v>
      </c>
    </row>
    <row r="53" spans="1:6">
      <c r="A53" s="348" t="s">
        <v>44</v>
      </c>
      <c r="B53" s="348" t="s">
        <v>45</v>
      </c>
      <c r="C53" s="334">
        <v>231</v>
      </c>
      <c r="D53" s="334">
        <v>6267982.6259000003</v>
      </c>
      <c r="E53" s="334">
        <v>677</v>
      </c>
      <c r="F53" s="334">
        <v>3973015.6508999998</v>
      </c>
    </row>
    <row r="54" spans="1:6">
      <c r="A54" s="348" t="s">
        <v>46</v>
      </c>
      <c r="B54" s="348" t="s">
        <v>47</v>
      </c>
      <c r="C54" s="334">
        <v>0</v>
      </c>
      <c r="D54" s="334">
        <v>0</v>
      </c>
      <c r="E54" s="334">
        <v>1</v>
      </c>
      <c r="F54" s="334">
        <v>1411370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73</v>
      </c>
      <c r="D57" s="334">
        <v>4214333.5416999999</v>
      </c>
      <c r="E57" s="334">
        <v>176</v>
      </c>
      <c r="F57" s="334">
        <v>7251452.6968</v>
      </c>
    </row>
    <row r="58" spans="1:6">
      <c r="A58" s="348" t="s">
        <v>49</v>
      </c>
      <c r="B58" s="348" t="s">
        <v>51</v>
      </c>
      <c r="C58" s="334">
        <v>77</v>
      </c>
      <c r="D58" s="334">
        <v>7639645.9160000002</v>
      </c>
      <c r="E58" s="334">
        <v>105</v>
      </c>
      <c r="F58" s="334">
        <v>1726285.7008</v>
      </c>
    </row>
    <row r="59" spans="1:6">
      <c r="A59" s="348" t="s">
        <v>49</v>
      </c>
      <c r="B59" s="348" t="s">
        <v>52</v>
      </c>
      <c r="C59" s="334">
        <v>248</v>
      </c>
      <c r="D59" s="334">
        <v>9726457.3873999994</v>
      </c>
      <c r="E59" s="334">
        <v>501</v>
      </c>
      <c r="F59" s="334">
        <v>14353035.583000001</v>
      </c>
    </row>
    <row r="60" spans="1:6">
      <c r="A60" s="348" t="s">
        <v>49</v>
      </c>
      <c r="B60" s="348" t="s">
        <v>53</v>
      </c>
      <c r="C60" s="334">
        <v>144</v>
      </c>
      <c r="D60" s="334">
        <v>24486396.978</v>
      </c>
      <c r="E60" s="334">
        <v>219</v>
      </c>
      <c r="F60" s="334">
        <v>9889192.8561000004</v>
      </c>
    </row>
    <row r="61" spans="1:6">
      <c r="A61" s="348" t="s">
        <v>49</v>
      </c>
      <c r="B61" s="348" t="s">
        <v>54</v>
      </c>
      <c r="C61" s="334">
        <v>255</v>
      </c>
      <c r="D61" s="334">
        <v>57275034.340000004</v>
      </c>
      <c r="E61" s="334">
        <v>492</v>
      </c>
      <c r="F61" s="334">
        <v>30331479.243000001</v>
      </c>
    </row>
    <row r="62" spans="1:6">
      <c r="A62" s="348" t="s">
        <v>49</v>
      </c>
      <c r="B62" s="348" t="s">
        <v>55</v>
      </c>
      <c r="C62" s="334">
        <v>27</v>
      </c>
      <c r="D62" s="334">
        <v>3572066.4046999998</v>
      </c>
      <c r="E62" s="334">
        <v>37</v>
      </c>
      <c r="F62" s="334">
        <v>2914893.8007999999</v>
      </c>
    </row>
    <row r="63" spans="1:6">
      <c r="A63" s="348" t="s">
        <v>49</v>
      </c>
      <c r="B63" s="348" t="s">
        <v>29</v>
      </c>
      <c r="C63" s="334">
        <v>95</v>
      </c>
      <c r="D63" s="334">
        <v>4069256.3303</v>
      </c>
      <c r="E63" s="334">
        <v>83</v>
      </c>
      <c r="F63" s="334">
        <v>7268943.2210999997</v>
      </c>
    </row>
    <row r="64" spans="1:6">
      <c r="A64" s="348" t="s">
        <v>56</v>
      </c>
      <c r="B64" s="348" t="s">
        <v>57</v>
      </c>
      <c r="C64" s="334">
        <v>0</v>
      </c>
      <c r="D64" s="334">
        <v>0</v>
      </c>
      <c r="E64" s="334">
        <v>0</v>
      </c>
      <c r="F64" s="334">
        <v>0</v>
      </c>
    </row>
    <row r="65" spans="1:6">
      <c r="A65" s="348" t="s">
        <v>56</v>
      </c>
      <c r="B65" s="348" t="s">
        <v>29</v>
      </c>
      <c r="C65" s="334">
        <v>2</v>
      </c>
      <c r="D65" s="334">
        <v>258848.35114000001</v>
      </c>
      <c r="E65" s="334">
        <v>1</v>
      </c>
      <c r="F65" s="334">
        <v>5107.457958</v>
      </c>
    </row>
    <row r="66" spans="1:6">
      <c r="A66" s="348" t="s">
        <v>56</v>
      </c>
      <c r="B66" s="348" t="s">
        <v>58</v>
      </c>
      <c r="C66" s="334">
        <v>0</v>
      </c>
      <c r="D66" s="334">
        <v>0</v>
      </c>
      <c r="E66" s="334">
        <v>12</v>
      </c>
      <c r="F66" s="334">
        <v>297043.60905000003</v>
      </c>
    </row>
    <row r="67" spans="1:6">
      <c r="A67" s="355" t="s">
        <v>56</v>
      </c>
      <c r="B67" s="355" t="s">
        <v>59</v>
      </c>
      <c r="C67" s="334">
        <v>0</v>
      </c>
      <c r="D67" s="334">
        <v>0</v>
      </c>
      <c r="E67" s="334">
        <v>0</v>
      </c>
      <c r="F67" s="334">
        <v>0</v>
      </c>
    </row>
    <row r="68" spans="1:6">
      <c r="A68" s="341" t="s">
        <v>56</v>
      </c>
      <c r="B68" s="341" t="s">
        <v>60</v>
      </c>
      <c r="C68" s="334">
        <v>8</v>
      </c>
      <c r="D68" s="334">
        <v>218271.51209999999</v>
      </c>
      <c r="E68" s="334">
        <v>23</v>
      </c>
      <c r="F68" s="334">
        <v>809460.01639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164959664</v>
      </c>
      <c r="E73" s="476">
        <v>172941718.63202736</v>
      </c>
    </row>
    <row r="74" spans="1:6">
      <c r="A74" s="348" t="s">
        <v>64</v>
      </c>
      <c r="B74" s="348" t="s">
        <v>667</v>
      </c>
      <c r="C74" s="1271" t="s">
        <v>669</v>
      </c>
      <c r="D74" s="476">
        <v>12358402.237222841</v>
      </c>
      <c r="E74" s="476">
        <v>12915224.903421948</v>
      </c>
    </row>
    <row r="75" spans="1:6">
      <c r="A75" s="348" t="s">
        <v>65</v>
      </c>
      <c r="B75" s="348" t="s">
        <v>666</v>
      </c>
      <c r="C75" s="1271" t="s">
        <v>670</v>
      </c>
      <c r="D75" s="476">
        <v>49549175</v>
      </c>
      <c r="E75" s="476">
        <v>51825003.669350237</v>
      </c>
    </row>
    <row r="76" spans="1:6">
      <c r="A76" s="348" t="s">
        <v>65</v>
      </c>
      <c r="B76" s="348" t="s">
        <v>667</v>
      </c>
      <c r="C76" s="1271" t="s">
        <v>671</v>
      </c>
      <c r="D76" s="476">
        <v>2131059.237222841</v>
      </c>
      <c r="E76" s="476">
        <v>2233638.7403290225</v>
      </c>
    </row>
    <row r="77" spans="1:6">
      <c r="A77" s="348" t="s">
        <v>66</v>
      </c>
      <c r="B77" s="348" t="s">
        <v>666</v>
      </c>
      <c r="C77" s="1271" t="s">
        <v>672</v>
      </c>
      <c r="D77" s="476">
        <v>44099352</v>
      </c>
      <c r="E77" s="476">
        <v>48024109.338041253</v>
      </c>
    </row>
    <row r="78" spans="1:6">
      <c r="A78" s="341" t="s">
        <v>66</v>
      </c>
      <c r="B78" s="341" t="s">
        <v>667</v>
      </c>
      <c r="C78" s="341" t="s">
        <v>673</v>
      </c>
      <c r="D78" s="1272">
        <v>18111805</v>
      </c>
      <c r="E78" s="1272">
        <v>18962122.456205957</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772115.52555431786</v>
      </c>
      <c r="C83" s="476">
        <v>772115.52555431786</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9926.7830899292221</v>
      </c>
    </row>
    <row r="92" spans="1:6">
      <c r="A92" s="341" t="s">
        <v>69</v>
      </c>
      <c r="B92" s="342">
        <v>3681.2410826901009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2</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67</v>
      </c>
      <c r="C123" s="334">
        <v>57</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423</v>
      </c>
    </row>
    <row r="130" spans="1:6">
      <c r="A130" s="348" t="s">
        <v>295</v>
      </c>
      <c r="B130" s="334">
        <v>4</v>
      </c>
    </row>
    <row r="131" spans="1:6">
      <c r="A131" s="348" t="s">
        <v>296</v>
      </c>
      <c r="B131" s="334">
        <v>0</v>
      </c>
    </row>
    <row r="132" spans="1:6">
      <c r="A132" s="341" t="s">
        <v>297</v>
      </c>
      <c r="B132" s="342">
        <v>60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203941.29459958398</v>
      </c>
      <c r="C3" s="43" t="s">
        <v>170</v>
      </c>
      <c r="D3" s="43"/>
      <c r="E3" s="154"/>
      <c r="F3" s="43"/>
      <c r="G3" s="43"/>
      <c r="H3" s="43"/>
      <c r="I3" s="43"/>
      <c r="J3" s="43"/>
      <c r="K3" s="96"/>
    </row>
    <row r="4" spans="1:11">
      <c r="A4" s="383" t="s">
        <v>171</v>
      </c>
      <c r="B4" s="49">
        <f>IF(ISERROR('SEAP template'!B69),0,'SEAP template'!B69)</f>
        <v>13632.774172619324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0.20625575051709452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1411.37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1411.37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0.20625575051709452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291.10317860731169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52574.631376999998</v>
      </c>
      <c r="C5" s="17">
        <f>IF(ISERROR('Eigen informatie GS &amp; warmtenet'!B57),0,'Eigen informatie GS &amp; warmtenet'!B57)</f>
        <v>0</v>
      </c>
      <c r="D5" s="30">
        <f>(SUM(HH_hh_gas_kWh,HH_rest_gas_kWh)/1000)*0.902</f>
        <v>125415.18137808</v>
      </c>
      <c r="E5" s="17">
        <f>B46*B57</f>
        <v>6619.5356356818083</v>
      </c>
      <c r="F5" s="17">
        <f>B51*B62</f>
        <v>58937.223599508899</v>
      </c>
      <c r="G5" s="18"/>
      <c r="H5" s="17"/>
      <c r="I5" s="17"/>
      <c r="J5" s="17">
        <f>B50*B61+C50*C61</f>
        <v>0</v>
      </c>
      <c r="K5" s="17"/>
      <c r="L5" s="17"/>
      <c r="M5" s="17"/>
      <c r="N5" s="17">
        <f>B48*B59+C48*C59</f>
        <v>37098.504522316354</v>
      </c>
      <c r="O5" s="17">
        <f>B69*B70*B71</f>
        <v>759.78000000000009</v>
      </c>
      <c r="P5" s="17">
        <f>B77*B78*B79/1000-B77*B78*B79/1000/B80</f>
        <v>2440.5333333333333</v>
      </c>
    </row>
    <row r="6" spans="1:16">
      <c r="A6" s="16" t="s">
        <v>624</v>
      </c>
      <c r="B6" s="843">
        <f>kWh_PV_kleiner_dan_10kW</f>
        <v>9926.7830899292221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62501.414466929222</v>
      </c>
      <c r="C8" s="21">
        <f>C5</f>
        <v>0</v>
      </c>
      <c r="D8" s="21">
        <f>D5</f>
        <v>125415.18137808</v>
      </c>
      <c r="E8" s="21">
        <f>E5</f>
        <v>6619.5356356818083</v>
      </c>
      <c r="F8" s="21">
        <f>F5</f>
        <v>58937.223599508899</v>
      </c>
      <c r="G8" s="21"/>
      <c r="H8" s="21"/>
      <c r="I8" s="21"/>
      <c r="J8" s="21">
        <f>J5</f>
        <v>0</v>
      </c>
      <c r="K8" s="21"/>
      <c r="L8" s="21">
        <f>L5</f>
        <v>0</v>
      </c>
      <c r="M8" s="21">
        <f>M5</f>
        <v>0</v>
      </c>
      <c r="N8" s="21">
        <f>N5</f>
        <v>37098.504522316354</v>
      </c>
      <c r="O8" s="21">
        <f>O5</f>
        <v>759.78000000000009</v>
      </c>
      <c r="P8" s="21">
        <f>P5</f>
        <v>2440.5333333333333</v>
      </c>
    </row>
    <row r="9" spans="1:16">
      <c r="B9" s="19"/>
      <c r="C9" s="19"/>
      <c r="D9" s="258"/>
      <c r="E9" s="19"/>
      <c r="F9" s="19"/>
      <c r="G9" s="19"/>
      <c r="H9" s="19"/>
      <c r="I9" s="19"/>
      <c r="J9" s="19"/>
      <c r="K9" s="19"/>
      <c r="L9" s="19"/>
      <c r="M9" s="19"/>
      <c r="N9" s="19"/>
      <c r="O9" s="19"/>
      <c r="P9" s="19"/>
    </row>
    <row r="10" spans="1:16">
      <c r="A10" s="24" t="s">
        <v>214</v>
      </c>
      <c r="B10" s="25">
        <f ca="1">'EF ele_warmte'!B12</f>
        <v>0.20625575051709452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12891.276149256475</v>
      </c>
      <c r="C12" s="23">
        <f ca="1">C10*C8</f>
        <v>0</v>
      </c>
      <c r="D12" s="23">
        <f>D8*D10</f>
        <v>25333.866638372161</v>
      </c>
      <c r="E12" s="23">
        <f>E10*E8</f>
        <v>1502.6345892997706</v>
      </c>
      <c r="F12" s="23">
        <f>F10*F8</f>
        <v>15736.238701068876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15191</v>
      </c>
      <c r="C28" s="36"/>
      <c r="D28" s="228"/>
    </row>
    <row r="29" spans="1:7" s="15" customFormat="1">
      <c r="A29" s="230" t="s">
        <v>699</v>
      </c>
      <c r="B29" s="37">
        <f>SUM(HH_hh_gas_aantal,HH_rest_gas_aantal)</f>
        <v>9161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9161</v>
      </c>
      <c r="C32" s="167">
        <f>IF(ISERROR(B32/SUM($B$32,$B$34,$B$35,$B$36,$B$38,$B$39)*100),0,B32/SUM($B$32,$B$34,$B$35,$B$36,$B$38,$B$39)*100)</f>
        <v>60.817898161056895</v>
      </c>
      <c r="D32" s="233"/>
      <c r="G32" s="15"/>
    </row>
    <row r="33" spans="1:7">
      <c r="A33" s="171" t="s">
        <v>72</v>
      </c>
      <c r="B33" s="34" t="s">
        <v>111</v>
      </c>
      <c r="C33" s="167"/>
      <c r="D33" s="233"/>
      <c r="G33" s="15"/>
    </row>
    <row r="34" spans="1:7">
      <c r="A34" s="171" t="s">
        <v>73</v>
      </c>
      <c r="B34" s="33">
        <f>IF((($B$28-$B$32-$B$39-$B$77-$B$38)*C20/100)&lt;0,0,($B$28-$B$32-$B$39-$B$77-$B$38)*C20/100)</f>
        <v>292.66816143497761</v>
      </c>
      <c r="C34" s="167">
        <f>IF(ISERROR(B34/SUM($B$32,$B$34,$B$35,$B$36,$B$38,$B$39)*100),0,B34/SUM($B$32,$B$34,$B$35,$B$36,$B$38,$B$39)*100)</f>
        <v>1.9429606415387213</v>
      </c>
      <c r="D34" s="233"/>
      <c r="G34" s="15"/>
    </row>
    <row r="35" spans="1:7">
      <c r="A35" s="171" t="s">
        <v>74</v>
      </c>
      <c r="B35" s="33">
        <f>IF((($B$28-$B$32-$B$39-$B$77-$B$38)*C21/100)&lt;0,0,($B$28-$B$32-$B$39-$B$77-$B$38)*C21/100)</f>
        <v>2610.6</v>
      </c>
      <c r="C35" s="167">
        <f>IF(ISERROR(B35/SUM($B$32,$B$34,$B$35,$B$36,$B$38,$B$39)*100),0,B35/SUM($B$32,$B$34,$B$35,$B$36,$B$38,$B$39)*100)</f>
        <v>17.331208922525391</v>
      </c>
      <c r="D35" s="233"/>
      <c r="G35" s="15"/>
    </row>
    <row r="36" spans="1:7">
      <c r="A36" s="171" t="s">
        <v>75</v>
      </c>
      <c r="B36" s="33">
        <f>IF((($B$28-$B$32-$B$39-$B$77-$B$38)*C22/100)&lt;0,0,($B$28-$B$32-$B$39-$B$77-$B$38)*C22/100)</f>
        <v>577.53183856502244</v>
      </c>
      <c r="C36" s="167">
        <f>IF(ISERROR(B36/SUM($B$32,$B$34,$B$35,$B$36,$B$38,$B$39)*100),0,B36/SUM($B$32,$B$34,$B$35,$B$36,$B$38,$B$39)*100)</f>
        <v>3.8341089993030764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2421.1999999999998</v>
      </c>
      <c r="C39" s="167">
        <f>IF(ISERROR(B39/SUM($B$32,$B$34,$B$35,$B$36,$B$38,$B$39)*100),0,B39/SUM($B$32,$B$34,$B$35,$B$36,$B$38,$B$39)*100)</f>
        <v>16.073823275575911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9161</v>
      </c>
      <c r="C44" s="34" t="s">
        <v>111</v>
      </c>
      <c r="D44" s="174"/>
    </row>
    <row r="45" spans="1:7">
      <c r="A45" s="171" t="s">
        <v>72</v>
      </c>
      <c r="B45" s="33" t="str">
        <f t="shared" si="0"/>
        <v>-</v>
      </c>
      <c r="C45" s="34" t="s">
        <v>111</v>
      </c>
      <c r="D45" s="174"/>
    </row>
    <row r="46" spans="1:7">
      <c r="A46" s="171" t="s">
        <v>73</v>
      </c>
      <c r="B46" s="33">
        <f t="shared" si="0"/>
        <v>292.66816143497761</v>
      </c>
      <c r="C46" s="34" t="s">
        <v>111</v>
      </c>
      <c r="D46" s="174"/>
    </row>
    <row r="47" spans="1:7">
      <c r="A47" s="171" t="s">
        <v>74</v>
      </c>
      <c r="B47" s="33">
        <f t="shared" si="0"/>
        <v>2610.6</v>
      </c>
      <c r="C47" s="34" t="s">
        <v>111</v>
      </c>
      <c r="D47" s="174"/>
    </row>
    <row r="48" spans="1:7">
      <c r="A48" s="171" t="s">
        <v>75</v>
      </c>
      <c r="B48" s="33">
        <f t="shared" si="0"/>
        <v>577.53183856502244</v>
      </c>
      <c r="C48" s="33">
        <f>B48*10</f>
        <v>5775.3183856502246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2421.1999999999998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73735.283101599998</v>
      </c>
      <c r="C5" s="17">
        <f>IF(ISERROR('Eigen informatie GS &amp; warmtenet'!B58),0,'Eigen informatie GS &amp; warmtenet'!B58)</f>
        <v>0</v>
      </c>
      <c r="D5" s="30">
        <f>SUM(D6:D12)</f>
        <v>100106.8381900862</v>
      </c>
      <c r="E5" s="17">
        <f>SUM(E6:E12)</f>
        <v>1321.5918897202789</v>
      </c>
      <c r="F5" s="17">
        <f>SUM(F6:F12)</f>
        <v>19980.523176057628</v>
      </c>
      <c r="G5" s="18"/>
      <c r="H5" s="17"/>
      <c r="I5" s="17"/>
      <c r="J5" s="17">
        <f>SUM(J6:J12)</f>
        <v>0</v>
      </c>
      <c r="K5" s="17"/>
      <c r="L5" s="17"/>
      <c r="M5" s="17"/>
      <c r="N5" s="17">
        <f>SUM(N6:N12)</f>
        <v>6431.613394146023</v>
      </c>
      <c r="O5" s="17">
        <f>B38*B39*B40</f>
        <v>6.2533333333333339</v>
      </c>
      <c r="P5" s="17">
        <f>B46*B47*B48/1000-B46*B47*B48/1000/B49</f>
        <v>19.066666666666666</v>
      </c>
      <c r="R5" s="32"/>
    </row>
    <row r="6" spans="1:18">
      <c r="A6" s="32" t="s">
        <v>54</v>
      </c>
      <c r="B6" s="37">
        <f>B26</f>
        <v>30331.479243000002</v>
      </c>
      <c r="C6" s="33"/>
      <c r="D6" s="37">
        <f>IF(ISERROR(TER_kantoor_gas_kWh/1000),0,TER_kantoor_gas_kWh/1000)*0.902</f>
        <v>51662.080974680008</v>
      </c>
      <c r="E6" s="33">
        <f>$C$26*'E Balans VL '!I12/100/3.6*1000000</f>
        <v>397.07642625551716</v>
      </c>
      <c r="F6" s="33">
        <f>$C$26*('E Balans VL '!L12+'E Balans VL '!N12)/100/3.6*1000000</f>
        <v>7734.2137731667908</v>
      </c>
      <c r="G6" s="34"/>
      <c r="H6" s="33"/>
      <c r="I6" s="33"/>
      <c r="J6" s="33">
        <f>$C$26*('E Balans VL '!D12+'E Balans VL '!E12)/100/3.6*1000000</f>
        <v>0</v>
      </c>
      <c r="K6" s="33"/>
      <c r="L6" s="33"/>
      <c r="M6" s="33"/>
      <c r="N6" s="33">
        <f>$C$26*'E Balans VL '!Y12/100/3.6*1000000</f>
        <v>30.433618874711563</v>
      </c>
      <c r="O6" s="33"/>
      <c r="P6" s="33"/>
      <c r="R6" s="32"/>
    </row>
    <row r="7" spans="1:18">
      <c r="A7" s="32" t="s">
        <v>53</v>
      </c>
      <c r="B7" s="37">
        <f t="shared" ref="B7:B12" si="0">B27</f>
        <v>9889.1928561000004</v>
      </c>
      <c r="C7" s="33"/>
      <c r="D7" s="37">
        <f>IF(ISERROR(TER_horeca_gas_kWh/1000),0,TER_horeca_gas_kWh/1000)*0.902</f>
        <v>22086.730074156003</v>
      </c>
      <c r="E7" s="33">
        <f>$C$27*'E Balans VL '!I9/100/3.6*1000000</f>
        <v>327.27212959468699</v>
      </c>
      <c r="F7" s="33">
        <f>$C$27*('E Balans VL '!L9+'E Balans VL '!N9)/100/3.6*1000000</f>
        <v>4252.3150281452181</v>
      </c>
      <c r="G7" s="34"/>
      <c r="H7" s="33"/>
      <c r="I7" s="33"/>
      <c r="J7" s="33">
        <f>$C$27*('E Balans VL '!D9+'E Balans VL '!E9)/100/3.6*1000000</f>
        <v>0</v>
      </c>
      <c r="K7" s="33"/>
      <c r="L7" s="33"/>
      <c r="M7" s="33"/>
      <c r="N7" s="33">
        <f>$C$27*'E Balans VL '!Y9/100/3.6*1000000</f>
        <v>2.3804723273030821</v>
      </c>
      <c r="O7" s="33"/>
      <c r="P7" s="33"/>
      <c r="R7" s="32"/>
    </row>
    <row r="8" spans="1:18">
      <c r="A8" s="6" t="s">
        <v>52</v>
      </c>
      <c r="B8" s="37">
        <f t="shared" si="0"/>
        <v>14353.035583000001</v>
      </c>
      <c r="C8" s="33"/>
      <c r="D8" s="37">
        <f>IF(ISERROR(TER_handel_gas_kWh/1000),0,TER_handel_gas_kWh/1000)*0.902</f>
        <v>8773.2645634348009</v>
      </c>
      <c r="E8" s="33">
        <f>$C$28*'E Balans VL '!I13/100/3.6*1000000</f>
        <v>453.00373378504628</v>
      </c>
      <c r="F8" s="33">
        <f>$C$28*('E Balans VL '!L13+'E Balans VL '!N13)/100/3.6*1000000</f>
        <v>2814.8830190913477</v>
      </c>
      <c r="G8" s="34"/>
      <c r="H8" s="33"/>
      <c r="I8" s="33"/>
      <c r="J8" s="33">
        <f>$C$28*('E Balans VL '!D13+'E Balans VL '!E13)/100/3.6*1000000</f>
        <v>0</v>
      </c>
      <c r="K8" s="33"/>
      <c r="L8" s="33"/>
      <c r="M8" s="33"/>
      <c r="N8" s="33">
        <f>$C$28*'E Balans VL '!Y13/100/3.6*1000000</f>
        <v>17.034266629372258</v>
      </c>
      <c r="O8" s="33"/>
      <c r="P8" s="33"/>
      <c r="R8" s="32"/>
    </row>
    <row r="9" spans="1:18">
      <c r="A9" s="32" t="s">
        <v>51</v>
      </c>
      <c r="B9" s="37">
        <f t="shared" si="0"/>
        <v>1726.2857008000001</v>
      </c>
      <c r="C9" s="33"/>
      <c r="D9" s="37">
        <f>IF(ISERROR(TER_gezond_gas_kWh/1000),0,TER_gezond_gas_kWh/1000)*0.902</f>
        <v>6890.9606162320006</v>
      </c>
      <c r="E9" s="33">
        <f>$C$29*'E Balans VL '!I10/100/3.6*1000000</f>
        <v>0.22101507107004623</v>
      </c>
      <c r="F9" s="33">
        <f>$C$29*('E Balans VL '!L10+'E Balans VL '!N10)/100/3.6*1000000</f>
        <v>359.65766674124171</v>
      </c>
      <c r="G9" s="34"/>
      <c r="H9" s="33"/>
      <c r="I9" s="33"/>
      <c r="J9" s="33">
        <f>$C$29*('E Balans VL '!D10+'E Balans VL '!E10)/100/3.6*1000000</f>
        <v>0</v>
      </c>
      <c r="K9" s="33"/>
      <c r="L9" s="33"/>
      <c r="M9" s="33"/>
      <c r="N9" s="33">
        <f>$C$29*'E Balans VL '!Y10/100/3.6*1000000</f>
        <v>20.276041505787727</v>
      </c>
      <c r="O9" s="33"/>
      <c r="P9" s="33"/>
      <c r="R9" s="32"/>
    </row>
    <row r="10" spans="1:18">
      <c r="A10" s="32" t="s">
        <v>50</v>
      </c>
      <c r="B10" s="37">
        <f t="shared" si="0"/>
        <v>7251.4526968</v>
      </c>
      <c r="C10" s="33"/>
      <c r="D10" s="37">
        <f>IF(ISERROR(TER_ander_gas_kWh/1000),0,TER_ander_gas_kWh/1000)*0.902</f>
        <v>3801.3288546133999</v>
      </c>
      <c r="E10" s="33">
        <f>$C$30*'E Balans VL '!I14/100/3.6*1000000</f>
        <v>10.904479563850478</v>
      </c>
      <c r="F10" s="33">
        <f>$C$30*('E Balans VL '!L14+'E Balans VL '!N14)/100/3.6*1000000</f>
        <v>1600.8870077981844</v>
      </c>
      <c r="G10" s="34"/>
      <c r="H10" s="33"/>
      <c r="I10" s="33"/>
      <c r="J10" s="33">
        <f>$C$30*('E Balans VL '!D14+'E Balans VL '!E14)/100/3.6*1000000</f>
        <v>0</v>
      </c>
      <c r="K10" s="33"/>
      <c r="L10" s="33"/>
      <c r="M10" s="33"/>
      <c r="N10" s="33">
        <f>$C$30*'E Balans VL '!Y14/100/3.6*1000000</f>
        <v>5714.6327294452994</v>
      </c>
      <c r="O10" s="33"/>
      <c r="P10" s="33"/>
      <c r="R10" s="32"/>
    </row>
    <row r="11" spans="1:18">
      <c r="A11" s="32" t="s">
        <v>55</v>
      </c>
      <c r="B11" s="37">
        <f t="shared" si="0"/>
        <v>2914.8938008</v>
      </c>
      <c r="C11" s="33"/>
      <c r="D11" s="37">
        <f>IF(ISERROR(TER_onderwijs_gas_kWh/1000),0,TER_onderwijs_gas_kWh/1000)*0.902</f>
        <v>3222.0038970394003</v>
      </c>
      <c r="E11" s="33">
        <f>$C$31*'E Balans VL '!I11/100/3.6*1000000</f>
        <v>5.1333722504649621</v>
      </c>
      <c r="F11" s="33">
        <f>$C$31*('E Balans VL '!L11+'E Balans VL '!N11)/100/3.6*1000000</f>
        <v>1345.8592127454492</v>
      </c>
      <c r="G11" s="34"/>
      <c r="H11" s="33"/>
      <c r="I11" s="33"/>
      <c r="J11" s="33">
        <f>$C$31*('E Balans VL '!D11+'E Balans VL '!E11)/100/3.6*1000000</f>
        <v>0</v>
      </c>
      <c r="K11" s="33"/>
      <c r="L11" s="33"/>
      <c r="M11" s="33"/>
      <c r="N11" s="33">
        <f>$C$31*'E Balans VL '!Y11/100/3.6*1000000</f>
        <v>5.4304874603117357</v>
      </c>
      <c r="O11" s="33"/>
      <c r="P11" s="33"/>
      <c r="R11" s="32"/>
    </row>
    <row r="12" spans="1:18">
      <c r="A12" s="32" t="s">
        <v>260</v>
      </c>
      <c r="B12" s="37">
        <f t="shared" si="0"/>
        <v>7268.9432210999994</v>
      </c>
      <c r="C12" s="33"/>
      <c r="D12" s="37">
        <f>IF(ISERROR(TER_rest_gas_kWh/1000),0,TER_rest_gas_kWh/1000)*0.902</f>
        <v>3670.4692099306003</v>
      </c>
      <c r="E12" s="33">
        <f>$C$32*'E Balans VL '!I8/100/3.6*1000000</f>
        <v>127.98073319964298</v>
      </c>
      <c r="F12" s="33">
        <f>$C$32*('E Balans VL '!L8+'E Balans VL '!N8)/100/3.6*1000000</f>
        <v>1872.7074683693957</v>
      </c>
      <c r="G12" s="34"/>
      <c r="H12" s="33"/>
      <c r="I12" s="33"/>
      <c r="J12" s="33">
        <f>$C$32*('E Balans VL '!D8+'E Balans VL '!E8)/100/3.6*1000000</f>
        <v>0</v>
      </c>
      <c r="K12" s="33"/>
      <c r="L12" s="33"/>
      <c r="M12" s="33"/>
      <c r="N12" s="33">
        <f>$C$32*'E Balans VL '!Y8/100/3.6*1000000</f>
        <v>641.42577790323708</v>
      </c>
      <c r="O12" s="33"/>
      <c r="P12" s="33"/>
      <c r="R12" s="32"/>
    </row>
    <row r="13" spans="1:18">
      <c r="A13" s="16" t="s">
        <v>491</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73760.033101599998</v>
      </c>
      <c r="C16" s="21">
        <f t="shared" ca="1" si="1"/>
        <v>35.357142857142861</v>
      </c>
      <c r="D16" s="21">
        <f t="shared" ca="1" si="1"/>
        <v>100036.12390437191</v>
      </c>
      <c r="E16" s="21">
        <f t="shared" si="1"/>
        <v>1321.5918897202789</v>
      </c>
      <c r="F16" s="21">
        <f t="shared" ca="1" si="1"/>
        <v>19980.523176057628</v>
      </c>
      <c r="G16" s="21">
        <f t="shared" si="1"/>
        <v>0</v>
      </c>
      <c r="H16" s="21">
        <f t="shared" si="1"/>
        <v>0</v>
      </c>
      <c r="I16" s="21">
        <f t="shared" si="1"/>
        <v>0</v>
      </c>
      <c r="J16" s="21">
        <f t="shared" si="1"/>
        <v>0</v>
      </c>
      <c r="K16" s="21">
        <f t="shared" si="1"/>
        <v>0</v>
      </c>
      <c r="L16" s="21">
        <f t="shared" ca="1" si="1"/>
        <v>0</v>
      </c>
      <c r="M16" s="21">
        <f t="shared" si="1"/>
        <v>0</v>
      </c>
      <c r="N16" s="21">
        <f t="shared" ca="1" si="1"/>
        <v>6431.613394146023</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0.20625575051709452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15213.430985536243</v>
      </c>
      <c r="C20" s="23">
        <f t="shared" ref="C20:P20" ca="1" si="2">C16*C18</f>
        <v>8.4025210084033635</v>
      </c>
      <c r="D20" s="23">
        <f t="shared" ca="1" si="2"/>
        <v>20207.297028683126</v>
      </c>
      <c r="E20" s="23">
        <f t="shared" si="2"/>
        <v>300.00135896650335</v>
      </c>
      <c r="F20" s="23">
        <f t="shared" ca="1" si="2"/>
        <v>5334.799688007387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30331.479243000002</v>
      </c>
      <c r="C26" s="39">
        <f>IF(ISERROR(B26*3.6/1000000/'E Balans VL '!Z12*100),0,B26*3.6/1000000/'E Balans VL '!Z12*100)</f>
        <v>0.64972384899372804</v>
      </c>
      <c r="D26" s="237" t="s">
        <v>660</v>
      </c>
      <c r="F26" s="6"/>
    </row>
    <row r="27" spans="1:18">
      <c r="A27" s="231" t="s">
        <v>53</v>
      </c>
      <c r="B27" s="33">
        <f>IF(ISERROR(TER_horeca_ele_kWh/1000),0,TER_horeca_ele_kWh/1000)</f>
        <v>9889.1928561000004</v>
      </c>
      <c r="C27" s="39">
        <f>IF(ISERROR(B27*3.6/1000000/'E Balans VL '!Z9*100),0,B27*3.6/1000000/'E Balans VL '!Z9*100)</f>
        <v>0.79357335221852332</v>
      </c>
      <c r="D27" s="237" t="s">
        <v>660</v>
      </c>
      <c r="F27" s="6"/>
    </row>
    <row r="28" spans="1:18">
      <c r="A28" s="171" t="s">
        <v>52</v>
      </c>
      <c r="B28" s="33">
        <f>IF(ISERROR(TER_handel_ele_kWh/1000),0,TER_handel_ele_kWh/1000)</f>
        <v>14353.035583000001</v>
      </c>
      <c r="C28" s="39">
        <f>IF(ISERROR(B28*3.6/1000000/'E Balans VL '!Z13*100),0,B28*3.6/1000000/'E Balans VL '!Z13*100)</f>
        <v>0.42333222397010251</v>
      </c>
      <c r="D28" s="237" t="s">
        <v>660</v>
      </c>
      <c r="F28" s="6"/>
    </row>
    <row r="29" spans="1:18">
      <c r="A29" s="231" t="s">
        <v>51</v>
      </c>
      <c r="B29" s="33">
        <f>IF(ISERROR(TER_gezond_ele_kWh/1000),0,TER_gezond_ele_kWh/1000)</f>
        <v>1726.2857008000001</v>
      </c>
      <c r="C29" s="39">
        <f>IF(ISERROR(B29*3.6/1000000/'E Balans VL '!Z10*100),0,B29*3.6/1000000/'E Balans VL '!Z10*100)</f>
        <v>0.18432102939018627</v>
      </c>
      <c r="D29" s="237" t="s">
        <v>660</v>
      </c>
      <c r="F29" s="6"/>
    </row>
    <row r="30" spans="1:18">
      <c r="A30" s="231" t="s">
        <v>50</v>
      </c>
      <c r="B30" s="33">
        <f>IF(ISERROR(TER_ander_ele_kWh/1000),0,TER_ander_ele_kWh/1000)</f>
        <v>7251.4526968</v>
      </c>
      <c r="C30" s="39">
        <f>IF(ISERROR(B30*3.6/1000000/'E Balans VL '!Z14*100),0,B30*3.6/1000000/'E Balans VL '!Z14*100)</f>
        <v>0.54773069749544523</v>
      </c>
      <c r="D30" s="237" t="s">
        <v>660</v>
      </c>
      <c r="F30" s="6"/>
    </row>
    <row r="31" spans="1:18">
      <c r="A31" s="231" t="s">
        <v>55</v>
      </c>
      <c r="B31" s="33">
        <f>IF(ISERROR(TER_onderwijs_ele_kWh/1000),0,TER_onderwijs_ele_kWh/1000)</f>
        <v>2914.8938008</v>
      </c>
      <c r="C31" s="39">
        <f>IF(ISERROR(B31*3.6/1000000/'E Balans VL '!Z11*100),0,B31*3.6/1000000/'E Balans VL '!Z11*100)</f>
        <v>0.58861436505394094</v>
      </c>
      <c r="D31" s="237" t="s">
        <v>660</v>
      </c>
    </row>
    <row r="32" spans="1:18">
      <c r="A32" s="231" t="s">
        <v>260</v>
      </c>
      <c r="B32" s="33">
        <f>IF(ISERROR(TER_rest_ele_kWh/1000),0,TER_rest_ele_kWh/1000)</f>
        <v>7268.9432210999994</v>
      </c>
      <c r="C32" s="39">
        <f>IF(ISERROR(B32*3.6/1000000/'E Balans VL '!Z8*100),0,B32*3.6/1000000/'E Balans VL '!Z8*100)</f>
        <v>6.0269661233333549E-2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64971.684437950702</v>
      </c>
      <c r="C5" s="17">
        <f>IF(ISERROR('Eigen informatie GS &amp; warmtenet'!B59),0,'Eigen informatie GS &amp; warmtenet'!B59)</f>
        <v>0</v>
      </c>
      <c r="D5" s="30">
        <f>SUM(D6:D15)</f>
        <v>17209.452915299698</v>
      </c>
      <c r="E5" s="17">
        <f>SUM(E6:E15)</f>
        <v>4961.3790619243964</v>
      </c>
      <c r="F5" s="17">
        <f>SUM(F6:F15)</f>
        <v>19117.358021653381</v>
      </c>
      <c r="G5" s="18"/>
      <c r="H5" s="17"/>
      <c r="I5" s="17"/>
      <c r="J5" s="17">
        <f>SUM(J6:J15)</f>
        <v>456.86555398410991</v>
      </c>
      <c r="K5" s="17"/>
      <c r="L5" s="17"/>
      <c r="M5" s="17"/>
      <c r="N5" s="17">
        <f>SUM(N6:N15)</f>
        <v>14057.784297347665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999.31021970000006</v>
      </c>
      <c r="C8" s="33"/>
      <c r="D8" s="37">
        <f>IF( ISERROR(IND_metaal_Gas_kWH/1000),0,IND_metaal_Gas_kWH/1000)*0.902</f>
        <v>0</v>
      </c>
      <c r="E8" s="33">
        <f>C30*'E Balans VL '!I18/100/3.6*1000000</f>
        <v>35.958204823151753</v>
      </c>
      <c r="F8" s="33">
        <f>C30*'E Balans VL '!L18/100/3.6*1000000+C30*'E Balans VL '!N18/100/3.6*1000000</f>
        <v>436.36637879094997</v>
      </c>
      <c r="G8" s="34"/>
      <c r="H8" s="33"/>
      <c r="I8" s="33"/>
      <c r="J8" s="40">
        <f>C30*'E Balans VL '!D18/100/3.6*1000000+C30*'E Balans VL '!E18/100/3.6*1000000</f>
        <v>0</v>
      </c>
      <c r="K8" s="33"/>
      <c r="L8" s="33"/>
      <c r="M8" s="33"/>
      <c r="N8" s="33">
        <f>C30*'E Balans VL '!Y18/100/3.6*1000000</f>
        <v>50.084749108112199</v>
      </c>
      <c r="O8" s="33"/>
      <c r="P8" s="33"/>
      <c r="R8" s="32"/>
    </row>
    <row r="9" spans="1:18">
      <c r="A9" s="6" t="s">
        <v>33</v>
      </c>
      <c r="B9" s="37">
        <f t="shared" si="0"/>
        <v>7388.1598859000005</v>
      </c>
      <c r="C9" s="33"/>
      <c r="D9" s="37">
        <f>IF( ISERROR(IND_andere_gas_kWh/1000),0,IND_andere_gas_kWh/1000)*0.902</f>
        <v>8135.2869598879988</v>
      </c>
      <c r="E9" s="33">
        <f>C31*'E Balans VL '!I19/100/3.6*1000000</f>
        <v>1885.2912410822335</v>
      </c>
      <c r="F9" s="33">
        <f>C31*'E Balans VL '!L19/100/3.6*1000000+C31*'E Balans VL '!N19/100/3.6*1000000</f>
        <v>6360.6503460740578</v>
      </c>
      <c r="G9" s="34"/>
      <c r="H9" s="33"/>
      <c r="I9" s="33"/>
      <c r="J9" s="40">
        <f>C31*'E Balans VL '!D19/100/3.6*1000000+C31*'E Balans VL '!E19/100/3.6*1000000</f>
        <v>0</v>
      </c>
      <c r="K9" s="33"/>
      <c r="L9" s="33"/>
      <c r="M9" s="33"/>
      <c r="N9" s="33">
        <f>C31*'E Balans VL '!Y19/100/3.6*1000000</f>
        <v>2310.5306143721264</v>
      </c>
      <c r="O9" s="33"/>
      <c r="P9" s="33"/>
      <c r="R9" s="32"/>
    </row>
    <row r="10" spans="1:18">
      <c r="A10" s="6" t="s">
        <v>41</v>
      </c>
      <c r="B10" s="37">
        <f t="shared" si="0"/>
        <v>892.21960086000001</v>
      </c>
      <c r="C10" s="33"/>
      <c r="D10" s="37">
        <f>IF( ISERROR(IND_voed_gas_kWh/1000),0,IND_voed_gas_kWh/1000)*0.902</f>
        <v>612.2449188713</v>
      </c>
      <c r="E10" s="33">
        <f>C32*'E Balans VL '!I20/100/3.6*1000000</f>
        <v>22.681447371769522</v>
      </c>
      <c r="F10" s="33">
        <f>C32*'E Balans VL '!L20/100/3.6*1000000+C32*'E Balans VL '!N20/100/3.6*1000000</f>
        <v>201.89590230336401</v>
      </c>
      <c r="G10" s="34"/>
      <c r="H10" s="33"/>
      <c r="I10" s="33"/>
      <c r="J10" s="40">
        <f>C32*'E Balans VL '!D20/100/3.6*1000000+C32*'E Balans VL '!E20/100/3.6*1000000</f>
        <v>0</v>
      </c>
      <c r="K10" s="33"/>
      <c r="L10" s="33"/>
      <c r="M10" s="33"/>
      <c r="N10" s="33">
        <f>C32*'E Balans VL '!Y20/100/3.6*1000000</f>
        <v>334.60653488604873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92.482423288000007</v>
      </c>
      <c r="C13" s="33"/>
      <c r="D13" s="37">
        <f>IF( ISERROR(IND_papier_gas_kWh/1000),0,IND_papier_gas_kWh/1000)*0.902</f>
        <v>0</v>
      </c>
      <c r="E13" s="33">
        <f>C35*'E Balans VL '!I23/100/3.6*1000000</f>
        <v>0.39663020870062976</v>
      </c>
      <c r="F13" s="33">
        <f>C35*'E Balans VL '!L23/100/3.6*1000000+C35*'E Balans VL '!N23/100/3.6*1000000</f>
        <v>2.3243703443958905</v>
      </c>
      <c r="G13" s="34"/>
      <c r="H13" s="33"/>
      <c r="I13" s="33"/>
      <c r="J13" s="40">
        <f>C35*'E Balans VL '!D23/100/3.6*1000000+C35*'E Balans VL '!E23/100/3.6*1000000</f>
        <v>6.1911909939058836</v>
      </c>
      <c r="K13" s="33"/>
      <c r="L13" s="33"/>
      <c r="M13" s="33"/>
      <c r="N13" s="33">
        <f>C35*'E Balans VL '!Y23/100/3.6*1000000</f>
        <v>168.340003543509</v>
      </c>
      <c r="O13" s="33"/>
      <c r="P13" s="33"/>
      <c r="R13" s="32"/>
    </row>
    <row r="14" spans="1:18">
      <c r="A14" s="6" t="s">
        <v>34</v>
      </c>
      <c r="B14" s="37">
        <f t="shared" si="0"/>
        <v>9.5358052026999989</v>
      </c>
      <c r="C14" s="33"/>
      <c r="D14" s="37">
        <f>IF( ISERROR(IND_chemie_gas_kWh/1000),0,IND_chemie_gas_kWh/1000)*0.902</f>
        <v>0</v>
      </c>
      <c r="E14" s="33">
        <f>C36*'E Balans VL '!I24/100/3.6*1000000</f>
        <v>2.2860599315258485E-2</v>
      </c>
      <c r="F14" s="33">
        <f>C36*'E Balans VL '!L24/100/3.6*1000000+C36*'E Balans VL '!N24/100/3.6*1000000</f>
        <v>7.6526993791131342E-2</v>
      </c>
      <c r="G14" s="34"/>
      <c r="H14" s="33"/>
      <c r="I14" s="33"/>
      <c r="J14" s="40">
        <f>C36*'E Balans VL '!D24/100/3.6*1000000+C36*'E Balans VL '!E24/100/3.6*1000000</f>
        <v>0</v>
      </c>
      <c r="K14" s="33"/>
      <c r="L14" s="33"/>
      <c r="M14" s="33"/>
      <c r="N14" s="33">
        <f>C36*'E Balans VL '!Y24/100/3.6*1000000</f>
        <v>0.19709770080405187</v>
      </c>
      <c r="O14" s="33"/>
      <c r="P14" s="33"/>
      <c r="R14" s="32"/>
    </row>
    <row r="15" spans="1:18">
      <c r="A15" s="6" t="s">
        <v>270</v>
      </c>
      <c r="B15" s="37">
        <f t="shared" si="0"/>
        <v>55589.976502999998</v>
      </c>
      <c r="C15" s="33"/>
      <c r="D15" s="37">
        <f>IF( ISERROR(IND_rest_gas_kWh/1000),0,IND_rest_gas_kWh/1000)*0.902</f>
        <v>8461.9210365403997</v>
      </c>
      <c r="E15" s="33">
        <f>C37*'E Balans VL '!I15/100/3.6*1000000</f>
        <v>3017.028677839226</v>
      </c>
      <c r="F15" s="33">
        <f>C37*'E Balans VL '!L15/100/3.6*1000000+C37*'E Balans VL '!N15/100/3.6*1000000</f>
        <v>12116.044497146824</v>
      </c>
      <c r="G15" s="34"/>
      <c r="H15" s="33"/>
      <c r="I15" s="33"/>
      <c r="J15" s="40">
        <f>C37*'E Balans VL '!D15/100/3.6*1000000+C37*'E Balans VL '!E15/100/3.6*1000000</f>
        <v>450.67436299020403</v>
      </c>
      <c r="K15" s="33"/>
      <c r="L15" s="33"/>
      <c r="M15" s="33"/>
      <c r="N15" s="33">
        <f>C37*'E Balans VL '!Y15/100/3.6*1000000</f>
        <v>11194.025297737066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64971.684437950702</v>
      </c>
      <c r="C18" s="21">
        <f>C5+C16</f>
        <v>0</v>
      </c>
      <c r="D18" s="21">
        <f>MAX((D5+D16),0)</f>
        <v>17209.452915299698</v>
      </c>
      <c r="E18" s="21">
        <f>MAX((E5+E16),0)</f>
        <v>4961.3790619243964</v>
      </c>
      <c r="F18" s="21">
        <f>MAX((F5+F16),0)</f>
        <v>19117.358021653381</v>
      </c>
      <c r="G18" s="21"/>
      <c r="H18" s="21"/>
      <c r="I18" s="21"/>
      <c r="J18" s="21">
        <f>MAX((J5+J16),0)</f>
        <v>456.86555398410991</v>
      </c>
      <c r="K18" s="21"/>
      <c r="L18" s="21">
        <f>MAX((L5+L16),0)</f>
        <v>0</v>
      </c>
      <c r="M18" s="21"/>
      <c r="N18" s="21">
        <f>MAX((N5+N16),0)</f>
        <v>14057.784297347665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0.20625575051709452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13400.783536109353</v>
      </c>
      <c r="C22" s="23">
        <f ca="1">C18*C20</f>
        <v>0</v>
      </c>
      <c r="D22" s="23">
        <f>D18*D20</f>
        <v>3476.3094888905393</v>
      </c>
      <c r="E22" s="23">
        <f>E18*E20</f>
        <v>1126.2330470568381</v>
      </c>
      <c r="F22" s="23">
        <f>F18*F20</f>
        <v>5104.3345917814531</v>
      </c>
      <c r="G22" s="23"/>
      <c r="H22" s="23"/>
      <c r="I22" s="23"/>
      <c r="J22" s="23">
        <f>J18*J20</f>
        <v>161.7304061103749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999.31021970000006</v>
      </c>
      <c r="C30" s="39">
        <f>IF(ISERROR(B30*3.6/1000000/'E Balans VL '!Z18*100),0,B30*3.6/1000000/'E Balans VL '!Z18*100)</f>
        <v>0.21173241090797781</v>
      </c>
      <c r="D30" s="237" t="s">
        <v>660</v>
      </c>
    </row>
    <row r="31" spans="1:18">
      <c r="A31" s="6" t="s">
        <v>33</v>
      </c>
      <c r="B31" s="37">
        <f>IF( ISERROR(IND_ander_ele_kWh/1000),0,IND_ander_ele_kWh/1000)</f>
        <v>7388.1598859000005</v>
      </c>
      <c r="C31" s="39">
        <f>IF(ISERROR(B31*3.6/1000000/'E Balans VL '!Z19*100),0,B31*3.6/1000000/'E Balans VL '!Z19*100)</f>
        <v>0.3109844256346046</v>
      </c>
      <c r="D31" s="237" t="s">
        <v>660</v>
      </c>
    </row>
    <row r="32" spans="1:18">
      <c r="A32" s="171" t="s">
        <v>41</v>
      </c>
      <c r="B32" s="37">
        <f>IF( ISERROR(IND_voed_ele_kWh/1000),0,IND_voed_ele_kWh/1000)</f>
        <v>892.21960086000001</v>
      </c>
      <c r="C32" s="39">
        <f>IF(ISERROR(B32*3.6/1000000/'E Balans VL '!Z20*100),0,B32*3.6/1000000/'E Balans VL '!Z20*100)</f>
        <v>0.149055379094162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92.482423288000007</v>
      </c>
      <c r="C35" s="39">
        <f>IF(ISERROR(B35*3.6/1000000/'E Balans VL '!Z22*100),0,B35*3.6/1000000/'E Balans VL '!Z22*100)</f>
        <v>1.1722645907989734E-2</v>
      </c>
      <c r="D35" s="237" t="s">
        <v>660</v>
      </c>
    </row>
    <row r="36" spans="1:5">
      <c r="A36" s="171" t="s">
        <v>34</v>
      </c>
      <c r="B36" s="37">
        <f>IF( ISERROR(IND_chemie_ele_kWh/1000),0,IND_chemie_ele_kWh/1000)</f>
        <v>9.5358052026999989</v>
      </c>
      <c r="C36" s="39">
        <f>IF(ISERROR(B36*3.6/1000000/'E Balans VL '!Z24*100),0,B36*3.6/1000000/'E Balans VL '!Z24*100)</f>
        <v>3.0972326049165426E-4</v>
      </c>
      <c r="D36" s="237" t="s">
        <v>660</v>
      </c>
    </row>
    <row r="37" spans="1:5">
      <c r="A37" s="171" t="s">
        <v>270</v>
      </c>
      <c r="B37" s="37">
        <f>IF( ISERROR(IND_rest_ele_kWh/1000),0,IND_rest_ele_kWh/1000)</f>
        <v>55589.976502999998</v>
      </c>
      <c r="C37" s="39">
        <f>IF(ISERROR(B37*3.6/1000000/'E Balans VL '!Z15*100),0,B37*3.6/1000000/'E Balans VL '!Z15*100)</f>
        <v>0.44879940573421184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1236.1915799000001</v>
      </c>
      <c r="C5" s="17">
        <f>'Eigen informatie GS &amp; warmtenet'!B60</f>
        <v>0</v>
      </c>
      <c r="D5" s="30">
        <f>IF(ISERROR(SUM(LB_lb_gas_kWh,LB_rest_gas_kWh,onbekend_gas_kWh)/1000),0,SUM(LB_lb_gas_kWh,LB_rest_gas_kWh,onbekend_gas_kWh)/1000)*0.902</f>
        <v>5802.9476296424609</v>
      </c>
      <c r="E5" s="17">
        <f>B17*'E Balans VL '!I25/3.6*1000000/100</f>
        <v>31.876634418711177</v>
      </c>
      <c r="F5" s="17">
        <f>B17*('E Balans VL '!L25/3.6*1000000+'E Balans VL '!N25/3.6*1000000)/100</f>
        <v>4518.5156457848007</v>
      </c>
      <c r="G5" s="18"/>
      <c r="H5" s="17"/>
      <c r="I5" s="17"/>
      <c r="J5" s="17">
        <f>('E Balans VL '!D25+'E Balans VL '!E25)/3.6*1000000*landbouw!B17/100</f>
        <v>177.96611214987234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1236.1915799000001</v>
      </c>
      <c r="C8" s="21">
        <f>C5+C6</f>
        <v>0</v>
      </c>
      <c r="D8" s="21">
        <f>MAX((D5+D6),0)</f>
        <v>5802.9476296424609</v>
      </c>
      <c r="E8" s="21">
        <f>MAX((E5+E6),0)</f>
        <v>31.876634418711177</v>
      </c>
      <c r="F8" s="21">
        <f>MAX((F5+F6),0)</f>
        <v>4518.5156457848007</v>
      </c>
      <c r="G8" s="21"/>
      <c r="H8" s="21"/>
      <c r="I8" s="21"/>
      <c r="J8" s="21">
        <f>MAX((J5+J6),0)</f>
        <v>177.96611214987234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0.20625575051709452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254.97162209518734</v>
      </c>
      <c r="C12" s="23">
        <f ca="1">C8*C10</f>
        <v>0</v>
      </c>
      <c r="D12" s="23">
        <f>D8*D10</f>
        <v>1172.1954211877771</v>
      </c>
      <c r="E12" s="23">
        <f>E8*E10</f>
        <v>7.235996013047437</v>
      </c>
      <c r="F12" s="23">
        <f>F8*F10</f>
        <v>1206.4436774245419</v>
      </c>
      <c r="G12" s="23"/>
      <c r="H12" s="23"/>
      <c r="I12" s="23"/>
      <c r="J12" s="23">
        <f>J8*J10</f>
        <v>63.000003701054808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0.17431120111531895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264.53486225409665</v>
      </c>
      <c r="C26" s="247">
        <f>B26*'GWP N2O_CH4'!B5</f>
        <v>5555.2321073360299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63.533532794312507</v>
      </c>
      <c r="C27" s="247">
        <f>B27*'GWP N2O_CH4'!B5</f>
        <v>1334.2041886805625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3.1640344055238083</v>
      </c>
      <c r="C28" s="247">
        <f>B28*'GWP N2O_CH4'!B4</f>
        <v>980.85066571238053</v>
      </c>
      <c r="D28" s="50"/>
    </row>
    <row r="29" spans="1:4">
      <c r="A29" s="41" t="s">
        <v>277</v>
      </c>
      <c r="B29" s="247">
        <f>B34*'ha_N2O bodem landbouw'!B4</f>
        <v>21.015198214268356</v>
      </c>
      <c r="C29" s="247">
        <f>B29*'GWP N2O_CH4'!B4</f>
        <v>6514.71144642319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4.7295615973014064E-3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2.1816364753456913E-4</v>
      </c>
      <c r="C5" s="463" t="s">
        <v>211</v>
      </c>
      <c r="D5" s="448">
        <f>SUM(D6:D11)</f>
        <v>5.0096463214916918E-4</v>
      </c>
      <c r="E5" s="448">
        <f>SUM(E6:E11)</f>
        <v>2.0029040477776449E-3</v>
      </c>
      <c r="F5" s="461" t="s">
        <v>211</v>
      </c>
      <c r="G5" s="448">
        <f>SUM(G6:G11)</f>
        <v>0.76865914942918512</v>
      </c>
      <c r="H5" s="448">
        <f>SUM(H6:H11)</f>
        <v>0.13539906922975009</v>
      </c>
      <c r="I5" s="463" t="s">
        <v>211</v>
      </c>
      <c r="J5" s="463" t="s">
        <v>211</v>
      </c>
      <c r="K5" s="463" t="s">
        <v>211</v>
      </c>
      <c r="L5" s="463" t="s">
        <v>211</v>
      </c>
      <c r="M5" s="448">
        <f>SUM(M6:M11)</f>
        <v>2.8272880928214596E-2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1.3916110644119912E-4</v>
      </c>
      <c r="C6" s="449"/>
      <c r="D6" s="962">
        <f>vkm_2011_GW_PW*SUMIFS(TableVerdeelsleutelVkm[CNG],TableVerdeelsleutelVkm[Voertuigtype],"Lichte voertuigen")*SUMIFS(TableECFTransport[EnergieConsumptieFactor (PJ per km)],TableECFTransport[Index],CONCATENATE($A6,"_CNG_CNG"))</f>
        <v>2.7651555611897928E-4</v>
      </c>
      <c r="E6" s="962">
        <f>vkm_2011_GW_PW*SUMIFS(TableVerdeelsleutelVkm[LPG],TableVerdeelsleutelVkm[Voertuigtype],"Lichte voertuigen")*SUMIFS(TableECFTransport[EnergieConsumptieFactor (PJ per km)],TableECFTransport[Index],CONCATENATE($A6,"_LPG_LPG"))</f>
        <v>1.0881878367243196E-3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0.25873372967112884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7.4861079828002677E-2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1.0395122309944006E-2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0.11842065330305132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3.8254929178382053E-5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3.7312535929718256E-3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4.1800024618434007E-5</v>
      </c>
      <c r="C8" s="449"/>
      <c r="D8" s="451">
        <f>vkm_2011_NGW_PW*SUMIFS(TableVerdeelsleutelVkm[CNG],TableVerdeelsleutelVkm[Voertuigtype],"Lichte voertuigen")*SUMIFS(TableECFTransport[EnergieConsumptieFactor (PJ per km)],TableECFTransport[Index],CONCATENATE($A8,"_CNG_CNG"))</f>
        <v>1.4706432341556698E-4</v>
      </c>
      <c r="E8" s="451">
        <f>vkm_2011_NGW_PW*SUMIFS(TableVerdeelsleutelVkm[LPG],TableVerdeelsleutelVkm[Voertuigtype],"Lichte voertuigen")*SUMIFS(TableECFTransport[EnergieConsumptieFactor (PJ per km)],TableECFTransport[Index],CONCATENATE($A8,"_LPG_LPG"))</f>
        <v>5.3524227401755312E-4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0.11883883104001797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3.8606538408165338E-2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4.9012129141560983E-3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2.6064437393713329E-2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7.9629066268900255E-6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8.2123683420141393E-4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3.7202516474936E-5</v>
      </c>
      <c r="C10" s="449"/>
      <c r="D10" s="451">
        <f>vkm_2011_SW_PW*SUMIFS(TableVerdeelsleutelVkm[CNG],TableVerdeelsleutelVkm[Voertuigtype],"Lichte voertuigen")*SUMIFS(TableECFTransport[EnergieConsumptieFactor (PJ per km)],TableECFTransport[Index],CONCATENATE($A10,"_CNG_CNG"))</f>
        <v>7.7384752614622956E-5</v>
      </c>
      <c r="E10" s="451">
        <f>vkm_2011_SW_PW*SUMIFS(TableVerdeelsleutelVkm[LPG],TableVerdeelsleutelVkm[Voertuigtype],"Lichte voertuigen")*SUMIFS(TableECFTransport[EnergieConsumptieFactor (PJ per km)],TableECFTransport[Index],CONCATENATE($A10,"_LPG_LPG"))</f>
        <v>3.7947393703577234E-4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8.0823591611655032E-2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2.1827532750001329E-2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3.2005227149828727E-3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0.16577790640961865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5.7700407775476139E-5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5.2235325619583812E-3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60.601013204046978</v>
      </c>
      <c r="C14" s="21"/>
      <c r="D14" s="21">
        <f t="shared" ref="D14:M14" si="0">((D5)*10^9/3600)+D12</f>
        <v>139.15684226365809</v>
      </c>
      <c r="E14" s="21">
        <f t="shared" si="0"/>
        <v>556.36223549379019</v>
      </c>
      <c r="F14" s="21"/>
      <c r="G14" s="21">
        <f t="shared" si="0"/>
        <v>213516.43039699589</v>
      </c>
      <c r="H14" s="21">
        <f t="shared" si="0"/>
        <v>37610.85256381947</v>
      </c>
      <c r="I14" s="21"/>
      <c r="J14" s="21"/>
      <c r="K14" s="21"/>
      <c r="L14" s="21"/>
      <c r="M14" s="21">
        <f t="shared" si="0"/>
        <v>7853.5780356151654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0.20625575051709452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12.499307460497064</v>
      </c>
      <c r="C18" s="23"/>
      <c r="D18" s="23">
        <f t="shared" ref="D18:M18" si="1">D14*D16</f>
        <v>28.109682137258936</v>
      </c>
      <c r="E18" s="23">
        <f t="shared" si="1"/>
        <v>126.29422745709037</v>
      </c>
      <c r="F18" s="23"/>
      <c r="G18" s="23">
        <f t="shared" si="1"/>
        <v>57008.886915997908</v>
      </c>
      <c r="H18" s="23">
        <f t="shared" si="1"/>
        <v>9365.1022883910482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1.0037710681325867E-2</v>
      </c>
      <c r="H50" s="321">
        <f t="shared" si="2"/>
        <v>0</v>
      </c>
      <c r="I50" s="321">
        <f t="shared" si="2"/>
        <v>0</v>
      </c>
      <c r="J50" s="321">
        <f t="shared" si="2"/>
        <v>0</v>
      </c>
      <c r="K50" s="321">
        <f t="shared" si="2"/>
        <v>0</v>
      </c>
      <c r="L50" s="321">
        <f t="shared" si="2"/>
        <v>0</v>
      </c>
      <c r="M50" s="321">
        <f t="shared" si="2"/>
        <v>3.1134732914818626E-4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1.0037710681325867E-2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3.1134732914818626E-4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2788.2529670349631</v>
      </c>
      <c r="H54" s="21">
        <f t="shared" si="3"/>
        <v>0</v>
      </c>
      <c r="I54" s="21">
        <f t="shared" si="3"/>
        <v>0</v>
      </c>
      <c r="J54" s="21">
        <f t="shared" si="3"/>
        <v>0</v>
      </c>
      <c r="K54" s="21">
        <f t="shared" si="3"/>
        <v>0</v>
      </c>
      <c r="L54" s="21">
        <f t="shared" si="3"/>
        <v>0</v>
      </c>
      <c r="M54" s="21">
        <f t="shared" si="3"/>
        <v>86.485369207829521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0.20625575051709452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744.46354219833518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13608.024172619324</v>
      </c>
      <c r="C6" s="1210"/>
      <c r="D6" s="1213"/>
      <c r="E6" s="1213"/>
      <c r="F6" s="1216"/>
      <c r="G6" s="1219"/>
      <c r="H6" s="1207"/>
      <c r="I6" s="1213"/>
      <c r="J6" s="1213"/>
      <c r="K6" s="1213"/>
      <c r="L6" s="1243"/>
      <c r="M6" s="575"/>
      <c r="N6" s="1255"/>
      <c r="O6" s="1256"/>
      <c r="Q6" s="573"/>
      <c r="R6" s="1240"/>
      <c r="S6" s="1240"/>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13632.774172619324</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13025</v>
      </c>
      <c r="C27" s="851">
        <v>2400</v>
      </c>
      <c r="D27" s="672" t="s">
        <v>855</v>
      </c>
      <c r="E27" s="671" t="s">
        <v>856</v>
      </c>
      <c r="F27" s="671" t="s">
        <v>857</v>
      </c>
      <c r="G27" s="671" t="s">
        <v>858</v>
      </c>
      <c r="H27" s="671" t="s">
        <v>859</v>
      </c>
      <c r="I27" s="671" t="s">
        <v>856</v>
      </c>
      <c r="J27" s="850">
        <v>41814</v>
      </c>
      <c r="K27" s="850">
        <v>41814</v>
      </c>
      <c r="L27" s="671" t="s">
        <v>860</v>
      </c>
      <c r="M27" s="671">
        <v>5.5</v>
      </c>
      <c r="N27" s="671">
        <v>24.75</v>
      </c>
      <c r="O27" s="671">
        <v>35.357142857142861</v>
      </c>
      <c r="P27" s="671">
        <v>70.714285714285722</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75171.403101599994</v>
      </c>
      <c r="D10" s="718">
        <f ca="1">tertiair!C16</f>
        <v>35.357142857142861</v>
      </c>
      <c r="E10" s="718">
        <f ca="1">tertiair!D16</f>
        <v>100036.12390437191</v>
      </c>
      <c r="F10" s="718">
        <f>tertiair!E16</f>
        <v>1321.5918897202789</v>
      </c>
      <c r="G10" s="718">
        <f ca="1">tertiair!F16</f>
        <v>19980.523176057628</v>
      </c>
      <c r="H10" s="718">
        <f>tertiair!G16</f>
        <v>0</v>
      </c>
      <c r="I10" s="718">
        <f>tertiair!H16</f>
        <v>0</v>
      </c>
      <c r="J10" s="718">
        <f>tertiair!I16</f>
        <v>0</v>
      </c>
      <c r="K10" s="718">
        <f>tertiair!J16</f>
        <v>0</v>
      </c>
      <c r="L10" s="718">
        <f>tertiair!K16</f>
        <v>0</v>
      </c>
      <c r="M10" s="718">
        <f ca="1">tertiair!L16</f>
        <v>0</v>
      </c>
      <c r="N10" s="718">
        <f>tertiair!M16</f>
        <v>0</v>
      </c>
      <c r="O10" s="718">
        <f ca="1">tertiair!N16</f>
        <v>6431.613394146023</v>
      </c>
      <c r="P10" s="718">
        <f>tertiair!O16</f>
        <v>6.2533333333333339</v>
      </c>
      <c r="Q10" s="719">
        <f>tertiair!P16</f>
        <v>19.066666666666666</v>
      </c>
      <c r="R10" s="721">
        <f ca="1">SUM(C10:Q10)</f>
        <v>203001.93260875298</v>
      </c>
      <c r="S10" s="67"/>
    </row>
    <row r="11" spans="1:19" s="474" customFormat="1">
      <c r="A11" s="870" t="s">
        <v>225</v>
      </c>
      <c r="B11" s="875"/>
      <c r="C11" s="718">
        <f>huishoudens!B8</f>
        <v>62501.414466929222</v>
      </c>
      <c r="D11" s="718">
        <f>huishoudens!C8</f>
        <v>0</v>
      </c>
      <c r="E11" s="718">
        <f>huishoudens!D8</f>
        <v>125415.18137808</v>
      </c>
      <c r="F11" s="718">
        <f>huishoudens!E8</f>
        <v>6619.5356356818083</v>
      </c>
      <c r="G11" s="718">
        <f>huishoudens!F8</f>
        <v>58937.223599508899</v>
      </c>
      <c r="H11" s="718">
        <f>huishoudens!G8</f>
        <v>0</v>
      </c>
      <c r="I11" s="718">
        <f>huishoudens!H8</f>
        <v>0</v>
      </c>
      <c r="J11" s="718">
        <f>huishoudens!I8</f>
        <v>0</v>
      </c>
      <c r="K11" s="718">
        <f>huishoudens!J8</f>
        <v>0</v>
      </c>
      <c r="L11" s="718">
        <f>huishoudens!K8</f>
        <v>0</v>
      </c>
      <c r="M11" s="718">
        <f>huishoudens!L8</f>
        <v>0</v>
      </c>
      <c r="N11" s="718">
        <f>huishoudens!M8</f>
        <v>0</v>
      </c>
      <c r="O11" s="718">
        <f>huishoudens!N8</f>
        <v>37098.504522316354</v>
      </c>
      <c r="P11" s="718">
        <f>huishoudens!O8</f>
        <v>759.78000000000009</v>
      </c>
      <c r="Q11" s="719">
        <f>huishoudens!P8</f>
        <v>2440.5333333333333</v>
      </c>
      <c r="R11" s="721">
        <f>SUM(C11:Q11)</f>
        <v>293772.17293584964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64971.684437950702</v>
      </c>
      <c r="D13" s="718">
        <f>industrie!C18</f>
        <v>0</v>
      </c>
      <c r="E13" s="718">
        <f>industrie!D18</f>
        <v>17209.452915299698</v>
      </c>
      <c r="F13" s="718">
        <f>industrie!E18</f>
        <v>4961.3790619243964</v>
      </c>
      <c r="G13" s="718">
        <f>industrie!F18</f>
        <v>19117.358021653381</v>
      </c>
      <c r="H13" s="718">
        <f>industrie!G18</f>
        <v>0</v>
      </c>
      <c r="I13" s="718">
        <f>industrie!H18</f>
        <v>0</v>
      </c>
      <c r="J13" s="718">
        <f>industrie!I18</f>
        <v>0</v>
      </c>
      <c r="K13" s="718">
        <f>industrie!J18</f>
        <v>456.86555398410991</v>
      </c>
      <c r="L13" s="718">
        <f>industrie!K18</f>
        <v>0</v>
      </c>
      <c r="M13" s="718">
        <f>industrie!L18</f>
        <v>0</v>
      </c>
      <c r="N13" s="718">
        <f>industrie!M18</f>
        <v>0</v>
      </c>
      <c r="O13" s="718">
        <f>industrie!N18</f>
        <v>14057.784297347665</v>
      </c>
      <c r="P13" s="718">
        <f>industrie!O18</f>
        <v>0</v>
      </c>
      <c r="Q13" s="719">
        <f>industrie!P18</f>
        <v>0</v>
      </c>
      <c r="R13" s="721">
        <f>SUM(C13:Q13)</f>
        <v>120774.52428815997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202644.50200647992</v>
      </c>
      <c r="D15" s="723">
        <f t="shared" ref="D15:Q15" ca="1" si="0">SUM(D9:D14)</f>
        <v>35.357142857142861</v>
      </c>
      <c r="E15" s="723">
        <f t="shared" ca="1" si="0"/>
        <v>242660.75819775159</v>
      </c>
      <c r="F15" s="723">
        <f t="shared" si="0"/>
        <v>12902.506587326483</v>
      </c>
      <c r="G15" s="723">
        <f t="shared" ca="1" si="0"/>
        <v>98035.104797219916</v>
      </c>
      <c r="H15" s="723">
        <f t="shared" si="0"/>
        <v>0</v>
      </c>
      <c r="I15" s="723">
        <f t="shared" si="0"/>
        <v>0</v>
      </c>
      <c r="J15" s="723">
        <f t="shared" si="0"/>
        <v>0</v>
      </c>
      <c r="K15" s="723">
        <f t="shared" si="0"/>
        <v>456.86555398410991</v>
      </c>
      <c r="L15" s="723">
        <f t="shared" si="0"/>
        <v>0</v>
      </c>
      <c r="M15" s="723">
        <f t="shared" ca="1" si="0"/>
        <v>0</v>
      </c>
      <c r="N15" s="723">
        <f t="shared" si="0"/>
        <v>0</v>
      </c>
      <c r="O15" s="723">
        <f t="shared" ca="1" si="0"/>
        <v>57587.902213810041</v>
      </c>
      <c r="P15" s="723">
        <f t="shared" si="0"/>
        <v>766.03333333333342</v>
      </c>
      <c r="Q15" s="724">
        <f t="shared" si="0"/>
        <v>2459.6</v>
      </c>
      <c r="R15" s="725">
        <f ca="1">SUM(R9:R14)</f>
        <v>617548.62983276253</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2788.2529670349631</v>
      </c>
      <c r="I18" s="718">
        <f>transport!H54</f>
        <v>0</v>
      </c>
      <c r="J18" s="718">
        <f>transport!I54</f>
        <v>0</v>
      </c>
      <c r="K18" s="718">
        <f>transport!J54</f>
        <v>0</v>
      </c>
      <c r="L18" s="718">
        <f>transport!K54</f>
        <v>0</v>
      </c>
      <c r="M18" s="718">
        <f>transport!L54</f>
        <v>0</v>
      </c>
      <c r="N18" s="718">
        <f>transport!M54</f>
        <v>86.485369207829521</v>
      </c>
      <c r="O18" s="718">
        <f>transport!N54</f>
        <v>0</v>
      </c>
      <c r="P18" s="718">
        <f>transport!O54</f>
        <v>0</v>
      </c>
      <c r="Q18" s="719">
        <f>transport!P54</f>
        <v>0</v>
      </c>
      <c r="R18" s="721">
        <f>SUM(C18:Q18)</f>
        <v>2874.7383362427927</v>
      </c>
      <c r="S18" s="67"/>
    </row>
    <row r="19" spans="1:19" s="474" customFormat="1" ht="15" thickBot="1">
      <c r="A19" s="870" t="s">
        <v>307</v>
      </c>
      <c r="B19" s="875"/>
      <c r="C19" s="727">
        <f>transport!B14</f>
        <v>60.601013204046978</v>
      </c>
      <c r="D19" s="727">
        <f>transport!C14</f>
        <v>0</v>
      </c>
      <c r="E19" s="727">
        <f>transport!D14</f>
        <v>139.15684226365809</v>
      </c>
      <c r="F19" s="727">
        <f>transport!E14</f>
        <v>556.36223549379019</v>
      </c>
      <c r="G19" s="727">
        <f>transport!F14</f>
        <v>0</v>
      </c>
      <c r="H19" s="727">
        <f>transport!G14</f>
        <v>213516.43039699589</v>
      </c>
      <c r="I19" s="727">
        <f>transport!H14</f>
        <v>37610.85256381947</v>
      </c>
      <c r="J19" s="727">
        <f>transport!I14</f>
        <v>0</v>
      </c>
      <c r="K19" s="727">
        <f>transport!J14</f>
        <v>0</v>
      </c>
      <c r="L19" s="727">
        <f>transport!K14</f>
        <v>0</v>
      </c>
      <c r="M19" s="727">
        <f>transport!L14</f>
        <v>0</v>
      </c>
      <c r="N19" s="727">
        <f>transport!M14</f>
        <v>7853.5780356151654</v>
      </c>
      <c r="O19" s="727">
        <f>transport!N14</f>
        <v>0</v>
      </c>
      <c r="P19" s="727">
        <f>transport!O14</f>
        <v>0</v>
      </c>
      <c r="Q19" s="728">
        <f>transport!P14</f>
        <v>0</v>
      </c>
      <c r="R19" s="729">
        <f>SUM(C19:Q19)</f>
        <v>259736.98108739199</v>
      </c>
      <c r="S19" s="67"/>
    </row>
    <row r="20" spans="1:19" s="474" customFormat="1" ht="15.75" thickBot="1">
      <c r="A20" s="730" t="s">
        <v>230</v>
      </c>
      <c r="B20" s="878"/>
      <c r="C20" s="873">
        <f>SUM(C17:C19)</f>
        <v>60.601013204046978</v>
      </c>
      <c r="D20" s="731">
        <f t="shared" ref="D20:R20" si="1">SUM(D17:D19)</f>
        <v>0</v>
      </c>
      <c r="E20" s="731">
        <f t="shared" si="1"/>
        <v>139.15684226365809</v>
      </c>
      <c r="F20" s="731">
        <f t="shared" si="1"/>
        <v>556.36223549379019</v>
      </c>
      <c r="G20" s="731">
        <f t="shared" si="1"/>
        <v>0</v>
      </c>
      <c r="H20" s="731">
        <f t="shared" si="1"/>
        <v>216304.68336403085</v>
      </c>
      <c r="I20" s="731">
        <f t="shared" si="1"/>
        <v>37610.85256381947</v>
      </c>
      <c r="J20" s="731">
        <f t="shared" si="1"/>
        <v>0</v>
      </c>
      <c r="K20" s="731">
        <f t="shared" si="1"/>
        <v>0</v>
      </c>
      <c r="L20" s="731">
        <f t="shared" si="1"/>
        <v>0</v>
      </c>
      <c r="M20" s="731">
        <f t="shared" si="1"/>
        <v>0</v>
      </c>
      <c r="N20" s="731">
        <f t="shared" si="1"/>
        <v>7940.0634048229949</v>
      </c>
      <c r="O20" s="731">
        <f t="shared" si="1"/>
        <v>0</v>
      </c>
      <c r="P20" s="731">
        <f t="shared" si="1"/>
        <v>0</v>
      </c>
      <c r="Q20" s="732">
        <f t="shared" si="1"/>
        <v>0</v>
      </c>
      <c r="R20" s="733">
        <f t="shared" si="1"/>
        <v>262611.71942363476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1236.1915799000001</v>
      </c>
      <c r="D22" s="727">
        <f>+landbouw!C8</f>
        <v>0</v>
      </c>
      <c r="E22" s="727">
        <f>+landbouw!D8</f>
        <v>5802.9476296424609</v>
      </c>
      <c r="F22" s="727">
        <f>+landbouw!E8</f>
        <v>31.876634418711177</v>
      </c>
      <c r="G22" s="727">
        <f>+landbouw!F8</f>
        <v>4518.5156457848007</v>
      </c>
      <c r="H22" s="727">
        <f>+landbouw!G8</f>
        <v>0</v>
      </c>
      <c r="I22" s="727">
        <f>+landbouw!H8</f>
        <v>0</v>
      </c>
      <c r="J22" s="727">
        <f>+landbouw!I8</f>
        <v>0</v>
      </c>
      <c r="K22" s="727">
        <f>+landbouw!J8</f>
        <v>177.96611214987234</v>
      </c>
      <c r="L22" s="727">
        <f>+landbouw!K8</f>
        <v>0</v>
      </c>
      <c r="M22" s="727">
        <f>+landbouw!L8</f>
        <v>0</v>
      </c>
      <c r="N22" s="727">
        <f>+landbouw!M8</f>
        <v>0</v>
      </c>
      <c r="O22" s="727">
        <f>+landbouw!N8</f>
        <v>0</v>
      </c>
      <c r="P22" s="727">
        <f>+landbouw!O8</f>
        <v>0</v>
      </c>
      <c r="Q22" s="728">
        <f>+landbouw!P8</f>
        <v>0</v>
      </c>
      <c r="R22" s="729">
        <f>SUM(C22:Q22)</f>
        <v>11767.497601895844</v>
      </c>
      <c r="S22" s="67"/>
    </row>
    <row r="23" spans="1:19" s="474" customFormat="1" ht="17.25" thickTop="1" thickBot="1">
      <c r="A23" s="734" t="s">
        <v>116</v>
      </c>
      <c r="B23" s="864"/>
      <c r="C23" s="735">
        <f ca="1">C20+C15+C22</f>
        <v>203941.29459958398</v>
      </c>
      <c r="D23" s="735">
        <f t="shared" ref="D23:Q23" ca="1" si="2">D20+D15+D22</f>
        <v>35.357142857142861</v>
      </c>
      <c r="E23" s="735">
        <f t="shared" ca="1" si="2"/>
        <v>248602.86266965771</v>
      </c>
      <c r="F23" s="735">
        <f t="shared" si="2"/>
        <v>13490.745457238985</v>
      </c>
      <c r="G23" s="735">
        <f t="shared" ca="1" si="2"/>
        <v>102553.62044300472</v>
      </c>
      <c r="H23" s="735">
        <f t="shared" si="2"/>
        <v>216304.68336403085</v>
      </c>
      <c r="I23" s="735">
        <f t="shared" si="2"/>
        <v>37610.85256381947</v>
      </c>
      <c r="J23" s="735">
        <f t="shared" si="2"/>
        <v>0</v>
      </c>
      <c r="K23" s="735">
        <f t="shared" si="2"/>
        <v>634.83166613398225</v>
      </c>
      <c r="L23" s="735">
        <f t="shared" si="2"/>
        <v>0</v>
      </c>
      <c r="M23" s="735">
        <f t="shared" ca="1" si="2"/>
        <v>0</v>
      </c>
      <c r="N23" s="735">
        <f t="shared" si="2"/>
        <v>7940.0634048229949</v>
      </c>
      <c r="O23" s="735">
        <f t="shared" ca="1" si="2"/>
        <v>57587.902213810041</v>
      </c>
      <c r="P23" s="735">
        <f t="shared" si="2"/>
        <v>766.03333333333342</v>
      </c>
      <c r="Q23" s="736">
        <f t="shared" si="2"/>
        <v>2459.6</v>
      </c>
      <c r="R23" s="737">
        <f ca="1">R20+R15+R22</f>
        <v>891927.84685829305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15504.534164143553</v>
      </c>
      <c r="D36" s="718">
        <f ca="1">tertiair!C20</f>
        <v>8.4025210084033635</v>
      </c>
      <c r="E36" s="718">
        <f ca="1">tertiair!D20</f>
        <v>20207.297028683126</v>
      </c>
      <c r="F36" s="718">
        <f>tertiair!E20</f>
        <v>300.00135896650335</v>
      </c>
      <c r="G36" s="718">
        <f ca="1">tertiair!F20</f>
        <v>5334.799688007387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41355.034760808972</v>
      </c>
    </row>
    <row r="37" spans="1:18">
      <c r="A37" s="885" t="s">
        <v>225</v>
      </c>
      <c r="B37" s="892"/>
      <c r="C37" s="718">
        <f ca="1">huishoudens!B12</f>
        <v>12891.276149256475</v>
      </c>
      <c r="D37" s="718">
        <f ca="1">huishoudens!C12</f>
        <v>0</v>
      </c>
      <c r="E37" s="718">
        <f>huishoudens!D12</f>
        <v>25333.866638372161</v>
      </c>
      <c r="F37" s="718">
        <f>huishoudens!E12</f>
        <v>1502.6345892997706</v>
      </c>
      <c r="G37" s="718">
        <f>huishoudens!F12</f>
        <v>15736.238701068876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55464.016077997279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13400.783536109353</v>
      </c>
      <c r="D39" s="718">
        <f ca="1">industrie!C22</f>
        <v>0</v>
      </c>
      <c r="E39" s="718">
        <f>industrie!D22</f>
        <v>3476.3094888905393</v>
      </c>
      <c r="F39" s="718">
        <f>industrie!E22</f>
        <v>1126.2330470568381</v>
      </c>
      <c r="G39" s="718">
        <f>industrie!F22</f>
        <v>5104.3345917814531</v>
      </c>
      <c r="H39" s="718">
        <f>industrie!G22</f>
        <v>0</v>
      </c>
      <c r="I39" s="718">
        <f>industrie!H22</f>
        <v>0</v>
      </c>
      <c r="J39" s="718">
        <f>industrie!I22</f>
        <v>0</v>
      </c>
      <c r="K39" s="718">
        <f>industrie!J22</f>
        <v>161.7304061103749</v>
      </c>
      <c r="L39" s="718">
        <f>industrie!K22</f>
        <v>0</v>
      </c>
      <c r="M39" s="718">
        <f>industrie!L22</f>
        <v>0</v>
      </c>
      <c r="N39" s="718">
        <f>industrie!M22</f>
        <v>0</v>
      </c>
      <c r="O39" s="718">
        <f>industrie!N22</f>
        <v>0</v>
      </c>
      <c r="P39" s="718">
        <f>industrie!O22</f>
        <v>0</v>
      </c>
      <c r="Q39" s="828">
        <f>industrie!P22</f>
        <v>0</v>
      </c>
      <c r="R39" s="918">
        <f ca="1">SUM(C39:Q39)</f>
        <v>23269.39106994856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41796.59384950938</v>
      </c>
      <c r="D41" s="763">
        <f t="shared" ref="D41:R41" ca="1" si="4">SUM(D35:D40)</f>
        <v>8.4025210084033635</v>
      </c>
      <c r="E41" s="763">
        <f t="shared" ca="1" si="4"/>
        <v>49017.473155945823</v>
      </c>
      <c r="F41" s="763">
        <f t="shared" si="4"/>
        <v>2928.8689953231124</v>
      </c>
      <c r="G41" s="763">
        <f t="shared" ca="1" si="4"/>
        <v>26175.372980857719</v>
      </c>
      <c r="H41" s="763">
        <f t="shared" si="4"/>
        <v>0</v>
      </c>
      <c r="I41" s="763">
        <f t="shared" si="4"/>
        <v>0</v>
      </c>
      <c r="J41" s="763">
        <f t="shared" si="4"/>
        <v>0</v>
      </c>
      <c r="K41" s="763">
        <f t="shared" si="4"/>
        <v>161.7304061103749</v>
      </c>
      <c r="L41" s="763">
        <f t="shared" si="4"/>
        <v>0</v>
      </c>
      <c r="M41" s="763">
        <f t="shared" ca="1" si="4"/>
        <v>0</v>
      </c>
      <c r="N41" s="763">
        <f t="shared" si="4"/>
        <v>0</v>
      </c>
      <c r="O41" s="763">
        <f t="shared" ca="1" si="4"/>
        <v>0</v>
      </c>
      <c r="P41" s="763">
        <f t="shared" si="4"/>
        <v>0</v>
      </c>
      <c r="Q41" s="764">
        <f t="shared" si="4"/>
        <v>0</v>
      </c>
      <c r="R41" s="765">
        <f t="shared" ca="1" si="4"/>
        <v>120088.44190875482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744.46354219833518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744.46354219833518</v>
      </c>
    </row>
    <row r="45" spans="1:18" ht="15" thickBot="1">
      <c r="A45" s="888" t="s">
        <v>307</v>
      </c>
      <c r="B45" s="898"/>
      <c r="C45" s="727">
        <f ca="1">transport!B18</f>
        <v>12.499307460497064</v>
      </c>
      <c r="D45" s="727">
        <f>transport!C18</f>
        <v>0</v>
      </c>
      <c r="E45" s="727">
        <f>transport!D18</f>
        <v>28.109682137258936</v>
      </c>
      <c r="F45" s="727">
        <f>transport!E18</f>
        <v>126.29422745709037</v>
      </c>
      <c r="G45" s="727">
        <f>transport!F18</f>
        <v>0</v>
      </c>
      <c r="H45" s="727">
        <f>transport!G18</f>
        <v>57008.886915997908</v>
      </c>
      <c r="I45" s="727">
        <f>transport!H18</f>
        <v>9365.1022883910482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66540.892421443801</v>
      </c>
    </row>
    <row r="46" spans="1:18" ht="15.75" thickBot="1">
      <c r="A46" s="886" t="s">
        <v>230</v>
      </c>
      <c r="B46" s="899"/>
      <c r="C46" s="763">
        <f t="shared" ref="C46:R46" ca="1" si="5">SUM(C43:C45)</f>
        <v>12.499307460497064</v>
      </c>
      <c r="D46" s="763">
        <f t="shared" ca="1" si="5"/>
        <v>0</v>
      </c>
      <c r="E46" s="763">
        <f t="shared" si="5"/>
        <v>28.109682137258936</v>
      </c>
      <c r="F46" s="763">
        <f t="shared" si="5"/>
        <v>126.29422745709037</v>
      </c>
      <c r="G46" s="763">
        <f t="shared" si="5"/>
        <v>0</v>
      </c>
      <c r="H46" s="763">
        <f t="shared" si="5"/>
        <v>57753.350458196241</v>
      </c>
      <c r="I46" s="763">
        <f t="shared" si="5"/>
        <v>9365.1022883910482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67285.355963642141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254.97162209518734</v>
      </c>
      <c r="D48" s="718">
        <f ca="1">+landbouw!C12</f>
        <v>0</v>
      </c>
      <c r="E48" s="718">
        <f>+landbouw!D12</f>
        <v>1172.1954211877771</v>
      </c>
      <c r="F48" s="718">
        <f>+landbouw!E12</f>
        <v>7.235996013047437</v>
      </c>
      <c r="G48" s="718">
        <f>+landbouw!F12</f>
        <v>1206.4436774245419</v>
      </c>
      <c r="H48" s="718">
        <f>+landbouw!G12</f>
        <v>0</v>
      </c>
      <c r="I48" s="718">
        <f>+landbouw!H12</f>
        <v>0</v>
      </c>
      <c r="J48" s="718">
        <f>+landbouw!I12</f>
        <v>0</v>
      </c>
      <c r="K48" s="718">
        <f>+landbouw!J12</f>
        <v>63.000003701054808</v>
      </c>
      <c r="L48" s="718">
        <f>+landbouw!K12</f>
        <v>0</v>
      </c>
      <c r="M48" s="718">
        <f>+landbouw!L12</f>
        <v>0</v>
      </c>
      <c r="N48" s="718">
        <f>+landbouw!M12</f>
        <v>0</v>
      </c>
      <c r="O48" s="718">
        <f>+landbouw!N12</f>
        <v>0</v>
      </c>
      <c r="P48" s="718">
        <f>+landbouw!O12</f>
        <v>0</v>
      </c>
      <c r="Q48" s="719">
        <f>+landbouw!P12</f>
        <v>0</v>
      </c>
      <c r="R48" s="761">
        <f ca="1">SUM(C48:Q48)</f>
        <v>2703.8467204216086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42064.064779065062</v>
      </c>
      <c r="D53" s="773">
        <f t="shared" ref="D53:Q53" ca="1" si="6">D41+D46+D48</f>
        <v>8.4025210084033635</v>
      </c>
      <c r="E53" s="773">
        <f t="shared" ca="1" si="6"/>
        <v>50217.778259270854</v>
      </c>
      <c r="F53" s="773">
        <f t="shared" si="6"/>
        <v>3062.3992187932504</v>
      </c>
      <c r="G53" s="773">
        <f t="shared" ca="1" si="6"/>
        <v>27381.81665828226</v>
      </c>
      <c r="H53" s="773">
        <f t="shared" si="6"/>
        <v>57753.350458196241</v>
      </c>
      <c r="I53" s="773">
        <f t="shared" si="6"/>
        <v>9365.1022883910482</v>
      </c>
      <c r="J53" s="773">
        <f t="shared" si="6"/>
        <v>0</v>
      </c>
      <c r="K53" s="773">
        <f t="shared" si="6"/>
        <v>224.73040981142969</v>
      </c>
      <c r="L53" s="773">
        <f t="shared" si="6"/>
        <v>0</v>
      </c>
      <c r="M53" s="773">
        <f t="shared" ca="1" si="6"/>
        <v>0</v>
      </c>
      <c r="N53" s="773">
        <f t="shared" si="6"/>
        <v>0</v>
      </c>
      <c r="O53" s="773">
        <f t="shared" ca="1" si="6"/>
        <v>0</v>
      </c>
      <c r="P53" s="773">
        <f>P41+P46+P48</f>
        <v>0</v>
      </c>
      <c r="Q53" s="774">
        <f t="shared" si="6"/>
        <v>0</v>
      </c>
      <c r="R53" s="775">
        <f ca="1">R41+R46+R48</f>
        <v>190077.64459281854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0.20625575051709447</v>
      </c>
      <c r="D55" s="836">
        <f t="shared" ca="1" si="7"/>
        <v>0.23764705882352943</v>
      </c>
      <c r="E55" s="836">
        <f t="shared" ca="1" si="7"/>
        <v>0.20199999999999999</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13608.024172619324</v>
      </c>
      <c r="C66" s="795">
        <f>'lokale energieproductie'!B6</f>
        <v>13608.024172619324</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13632.774172619324</v>
      </c>
      <c r="C69" s="803">
        <f>SUM(C64:C68)</f>
        <v>13608.024172619324</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62501.414466929222</v>
      </c>
      <c r="C4" s="478">
        <f>huishoudens!C8</f>
        <v>0</v>
      </c>
      <c r="D4" s="478">
        <f>huishoudens!D8</f>
        <v>125415.18137808</v>
      </c>
      <c r="E4" s="478">
        <f>huishoudens!E8</f>
        <v>6619.5356356818083</v>
      </c>
      <c r="F4" s="478">
        <f>huishoudens!F8</f>
        <v>58937.223599508899</v>
      </c>
      <c r="G4" s="478">
        <f>huishoudens!G8</f>
        <v>0</v>
      </c>
      <c r="H4" s="478">
        <f>huishoudens!H8</f>
        <v>0</v>
      </c>
      <c r="I4" s="478">
        <f>huishoudens!I8</f>
        <v>0</v>
      </c>
      <c r="J4" s="478">
        <f>huishoudens!J8</f>
        <v>0</v>
      </c>
      <c r="K4" s="478">
        <f>huishoudens!K8</f>
        <v>0</v>
      </c>
      <c r="L4" s="478">
        <f>huishoudens!L8</f>
        <v>0</v>
      </c>
      <c r="M4" s="478">
        <f>huishoudens!M8</f>
        <v>0</v>
      </c>
      <c r="N4" s="478">
        <f>huishoudens!N8</f>
        <v>37098.504522316354</v>
      </c>
      <c r="O4" s="478">
        <f>huishoudens!O8</f>
        <v>759.78000000000009</v>
      </c>
      <c r="P4" s="479">
        <f>huishoudens!P8</f>
        <v>2440.5333333333333</v>
      </c>
      <c r="Q4" s="480">
        <f>SUM(B4:P4)</f>
        <v>293772.17293584964</v>
      </c>
    </row>
    <row r="5" spans="1:17">
      <c r="A5" s="477" t="s">
        <v>156</v>
      </c>
      <c r="B5" s="478">
        <f ca="1">tertiair!B16</f>
        <v>73760.033101599998</v>
      </c>
      <c r="C5" s="478">
        <f ca="1">tertiair!C16</f>
        <v>35.357142857142861</v>
      </c>
      <c r="D5" s="478">
        <f ca="1">tertiair!D16</f>
        <v>100036.12390437191</v>
      </c>
      <c r="E5" s="478">
        <f>tertiair!E16</f>
        <v>1321.5918897202789</v>
      </c>
      <c r="F5" s="478">
        <f ca="1">tertiair!F16</f>
        <v>19980.523176057628</v>
      </c>
      <c r="G5" s="478">
        <f>tertiair!G16</f>
        <v>0</v>
      </c>
      <c r="H5" s="478">
        <f>tertiair!H16</f>
        <v>0</v>
      </c>
      <c r="I5" s="478">
        <f>tertiair!I16</f>
        <v>0</v>
      </c>
      <c r="J5" s="478">
        <f>tertiair!J16</f>
        <v>0</v>
      </c>
      <c r="K5" s="478">
        <f>tertiair!K16</f>
        <v>0</v>
      </c>
      <c r="L5" s="478">
        <f ca="1">tertiair!L16</f>
        <v>0</v>
      </c>
      <c r="M5" s="478">
        <f>tertiair!M16</f>
        <v>0</v>
      </c>
      <c r="N5" s="478">
        <f ca="1">tertiair!N16</f>
        <v>6431.613394146023</v>
      </c>
      <c r="O5" s="478">
        <f>tertiair!O16</f>
        <v>6.2533333333333339</v>
      </c>
      <c r="P5" s="479">
        <f>tertiair!P16</f>
        <v>19.066666666666666</v>
      </c>
      <c r="Q5" s="477">
        <f t="shared" ref="Q5:Q13" ca="1" si="0">SUM(B5:P5)</f>
        <v>201590.56260875298</v>
      </c>
    </row>
    <row r="6" spans="1:17">
      <c r="A6" s="477" t="s">
        <v>194</v>
      </c>
      <c r="B6" s="478">
        <f>'openbare verlichting'!B8</f>
        <v>1411.37</v>
      </c>
      <c r="C6" s="478"/>
      <c r="D6" s="478"/>
      <c r="E6" s="478"/>
      <c r="F6" s="478"/>
      <c r="G6" s="478"/>
      <c r="H6" s="478"/>
      <c r="I6" s="478"/>
      <c r="J6" s="478"/>
      <c r="K6" s="478"/>
      <c r="L6" s="478"/>
      <c r="M6" s="478"/>
      <c r="N6" s="478"/>
      <c r="O6" s="478"/>
      <c r="P6" s="479"/>
      <c r="Q6" s="477">
        <f t="shared" si="0"/>
        <v>1411.37</v>
      </c>
    </row>
    <row r="7" spans="1:17">
      <c r="A7" s="477" t="s">
        <v>112</v>
      </c>
      <c r="B7" s="478">
        <f>landbouw!B8</f>
        <v>1236.1915799000001</v>
      </c>
      <c r="C7" s="478">
        <f>landbouw!C8</f>
        <v>0</v>
      </c>
      <c r="D7" s="478">
        <f>landbouw!D8</f>
        <v>5802.9476296424609</v>
      </c>
      <c r="E7" s="478">
        <f>landbouw!E8</f>
        <v>31.876634418711177</v>
      </c>
      <c r="F7" s="478">
        <f>landbouw!F8</f>
        <v>4518.5156457848007</v>
      </c>
      <c r="G7" s="478">
        <f>landbouw!G8</f>
        <v>0</v>
      </c>
      <c r="H7" s="478">
        <f>landbouw!H8</f>
        <v>0</v>
      </c>
      <c r="I7" s="478">
        <f>landbouw!I8</f>
        <v>0</v>
      </c>
      <c r="J7" s="478">
        <f>landbouw!J8</f>
        <v>177.96611214987234</v>
      </c>
      <c r="K7" s="478">
        <f>landbouw!K8</f>
        <v>0</v>
      </c>
      <c r="L7" s="478">
        <f>landbouw!L8</f>
        <v>0</v>
      </c>
      <c r="M7" s="478">
        <f>landbouw!M8</f>
        <v>0</v>
      </c>
      <c r="N7" s="478">
        <f>landbouw!N8</f>
        <v>0</v>
      </c>
      <c r="O7" s="478">
        <f>landbouw!O8</f>
        <v>0</v>
      </c>
      <c r="P7" s="479">
        <f>landbouw!P8</f>
        <v>0</v>
      </c>
      <c r="Q7" s="477">
        <f t="shared" si="0"/>
        <v>11767.497601895844</v>
      </c>
    </row>
    <row r="8" spans="1:17">
      <c r="A8" s="477" t="s">
        <v>638</v>
      </c>
      <c r="B8" s="478">
        <f>industrie!B18</f>
        <v>64971.684437950702</v>
      </c>
      <c r="C8" s="478">
        <f>industrie!C18</f>
        <v>0</v>
      </c>
      <c r="D8" s="478">
        <f>industrie!D18</f>
        <v>17209.452915299698</v>
      </c>
      <c r="E8" s="478">
        <f>industrie!E18</f>
        <v>4961.3790619243964</v>
      </c>
      <c r="F8" s="478">
        <f>industrie!F18</f>
        <v>19117.358021653381</v>
      </c>
      <c r="G8" s="478">
        <f>industrie!G18</f>
        <v>0</v>
      </c>
      <c r="H8" s="478">
        <f>industrie!H18</f>
        <v>0</v>
      </c>
      <c r="I8" s="478">
        <f>industrie!I18</f>
        <v>0</v>
      </c>
      <c r="J8" s="478">
        <f>industrie!J18</f>
        <v>456.86555398410991</v>
      </c>
      <c r="K8" s="478">
        <f>industrie!K18</f>
        <v>0</v>
      </c>
      <c r="L8" s="478">
        <f>industrie!L18</f>
        <v>0</v>
      </c>
      <c r="M8" s="478">
        <f>industrie!M18</f>
        <v>0</v>
      </c>
      <c r="N8" s="478">
        <f>industrie!N18</f>
        <v>14057.784297347665</v>
      </c>
      <c r="O8" s="478">
        <f>industrie!O18</f>
        <v>0</v>
      </c>
      <c r="P8" s="479">
        <f>industrie!P18</f>
        <v>0</v>
      </c>
      <c r="Q8" s="477">
        <f t="shared" si="0"/>
        <v>120774.52428815997</v>
      </c>
    </row>
    <row r="9" spans="1:17" s="483" customFormat="1">
      <c r="A9" s="481" t="s">
        <v>564</v>
      </c>
      <c r="B9" s="482">
        <f>transport!B14</f>
        <v>60.601013204046978</v>
      </c>
      <c r="C9" s="482"/>
      <c r="D9" s="482">
        <f>transport!D14</f>
        <v>139.15684226365809</v>
      </c>
      <c r="E9" s="482">
        <f>transport!E14</f>
        <v>556.36223549379019</v>
      </c>
      <c r="F9" s="482"/>
      <c r="G9" s="482">
        <f>transport!G14</f>
        <v>213516.43039699589</v>
      </c>
      <c r="H9" s="482">
        <f>transport!H14</f>
        <v>37610.85256381947</v>
      </c>
      <c r="I9" s="482"/>
      <c r="J9" s="482"/>
      <c r="K9" s="482"/>
      <c r="L9" s="482"/>
      <c r="M9" s="482">
        <f>transport!M14</f>
        <v>7853.5780356151654</v>
      </c>
      <c r="N9" s="482"/>
      <c r="O9" s="482"/>
      <c r="P9" s="482"/>
      <c r="Q9" s="481">
        <f>SUM(B9:P9)</f>
        <v>259736.98108739199</v>
      </c>
    </row>
    <row r="10" spans="1:17">
      <c r="A10" s="477" t="s">
        <v>554</v>
      </c>
      <c r="B10" s="478">
        <f>transport!B54</f>
        <v>0</v>
      </c>
      <c r="C10" s="478"/>
      <c r="D10" s="478">
        <f>transport!D54</f>
        <v>0</v>
      </c>
      <c r="E10" s="478"/>
      <c r="F10" s="478"/>
      <c r="G10" s="478">
        <f>transport!G54</f>
        <v>2788.2529670349631</v>
      </c>
      <c r="H10" s="478"/>
      <c r="I10" s="478"/>
      <c r="J10" s="478"/>
      <c r="K10" s="478"/>
      <c r="L10" s="478"/>
      <c r="M10" s="478">
        <f>transport!M54</f>
        <v>86.485369207829521</v>
      </c>
      <c r="N10" s="478"/>
      <c r="O10" s="478"/>
      <c r="P10" s="479"/>
      <c r="Q10" s="477">
        <f t="shared" si="0"/>
        <v>2874.7383362427927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203941.29459958398</v>
      </c>
      <c r="C14" s="488">
        <f t="shared" ref="C14:Q14" ca="1" si="1">SUM(C4:C13)</f>
        <v>35.357142857142861</v>
      </c>
      <c r="D14" s="488">
        <f t="shared" ca="1" si="1"/>
        <v>248602.86266965774</v>
      </c>
      <c r="E14" s="488">
        <f t="shared" si="1"/>
        <v>13490.745457238987</v>
      </c>
      <c r="F14" s="488">
        <f t="shared" ca="1" si="1"/>
        <v>102553.62044300471</v>
      </c>
      <c r="G14" s="488">
        <f t="shared" si="1"/>
        <v>216304.68336403085</v>
      </c>
      <c r="H14" s="488">
        <f t="shared" si="1"/>
        <v>37610.85256381947</v>
      </c>
      <c r="I14" s="488">
        <f t="shared" si="1"/>
        <v>0</v>
      </c>
      <c r="J14" s="488">
        <f t="shared" si="1"/>
        <v>634.83166613398225</v>
      </c>
      <c r="K14" s="488">
        <f t="shared" si="1"/>
        <v>0</v>
      </c>
      <c r="L14" s="488">
        <f t="shared" ca="1" si="1"/>
        <v>0</v>
      </c>
      <c r="M14" s="488">
        <f t="shared" si="1"/>
        <v>7940.0634048229949</v>
      </c>
      <c r="N14" s="488">
        <f t="shared" ca="1" si="1"/>
        <v>57587.902213810041</v>
      </c>
      <c r="O14" s="488">
        <f t="shared" si="1"/>
        <v>766.03333333333342</v>
      </c>
      <c r="P14" s="489">
        <f t="shared" si="1"/>
        <v>2459.6</v>
      </c>
      <c r="Q14" s="489">
        <f t="shared" ca="1" si="1"/>
        <v>891927.84685829305</v>
      </c>
    </row>
    <row r="16" spans="1:17">
      <c r="A16" s="491" t="s">
        <v>559</v>
      </c>
      <c r="B16" s="841">
        <f ca="1">huishoudens!B10</f>
        <v>0.20625575051709452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12891.276149256475</v>
      </c>
      <c r="C21" s="478">
        <f t="shared" ref="C21:C28" ca="1" si="3">C4*$C$16</f>
        <v>0</v>
      </c>
      <c r="D21" s="478">
        <f t="shared" ref="D21:D30" si="4">D4*$D$16</f>
        <v>25333.866638372161</v>
      </c>
      <c r="E21" s="478">
        <f t="shared" ref="E21:E30" si="5">E4*$E$16</f>
        <v>1502.6345892997706</v>
      </c>
      <c r="F21" s="478">
        <f t="shared" ref="F21:F28" si="6">F4*$F$16</f>
        <v>15736.238701068876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55464.016077997279</v>
      </c>
    </row>
    <row r="22" spans="1:17">
      <c r="A22" s="477" t="s">
        <v>156</v>
      </c>
      <c r="B22" s="478">
        <f t="shared" ca="1" si="2"/>
        <v>15213.430985536243</v>
      </c>
      <c r="C22" s="478">
        <f t="shared" ca="1" si="3"/>
        <v>8.4025210084033635</v>
      </c>
      <c r="D22" s="478">
        <f t="shared" ca="1" si="4"/>
        <v>20207.297028683126</v>
      </c>
      <c r="E22" s="478">
        <f t="shared" si="5"/>
        <v>300.00135896650335</v>
      </c>
      <c r="F22" s="478">
        <f t="shared" ca="1" si="6"/>
        <v>5334.799688007387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41063.931582201658</v>
      </c>
    </row>
    <row r="23" spans="1:17">
      <c r="A23" s="477" t="s">
        <v>194</v>
      </c>
      <c r="B23" s="478">
        <f t="shared" ca="1" si="2"/>
        <v>291.10317860731169</v>
      </c>
      <c r="C23" s="478"/>
      <c r="D23" s="478"/>
      <c r="E23" s="478"/>
      <c r="F23" s="478"/>
      <c r="G23" s="478"/>
      <c r="H23" s="478"/>
      <c r="I23" s="478"/>
      <c r="J23" s="478"/>
      <c r="K23" s="478"/>
      <c r="L23" s="478"/>
      <c r="M23" s="478"/>
      <c r="N23" s="478"/>
      <c r="O23" s="478"/>
      <c r="P23" s="479"/>
      <c r="Q23" s="477">
        <f t="shared" ca="1" si="17"/>
        <v>291.10317860731169</v>
      </c>
    </row>
    <row r="24" spans="1:17">
      <c r="A24" s="477" t="s">
        <v>112</v>
      </c>
      <c r="B24" s="478">
        <f t="shared" ca="1" si="2"/>
        <v>254.97162209518734</v>
      </c>
      <c r="C24" s="478">
        <f t="shared" ca="1" si="3"/>
        <v>0</v>
      </c>
      <c r="D24" s="478">
        <f t="shared" si="4"/>
        <v>1172.1954211877771</v>
      </c>
      <c r="E24" s="478">
        <f t="shared" si="5"/>
        <v>7.235996013047437</v>
      </c>
      <c r="F24" s="478">
        <f t="shared" si="6"/>
        <v>1206.4436774245419</v>
      </c>
      <c r="G24" s="478">
        <f t="shared" si="7"/>
        <v>0</v>
      </c>
      <c r="H24" s="478">
        <f t="shared" si="8"/>
        <v>0</v>
      </c>
      <c r="I24" s="478">
        <f t="shared" si="9"/>
        <v>0</v>
      </c>
      <c r="J24" s="478">
        <f t="shared" si="10"/>
        <v>63.000003701054808</v>
      </c>
      <c r="K24" s="478">
        <f t="shared" si="11"/>
        <v>0</v>
      </c>
      <c r="L24" s="478">
        <f t="shared" si="12"/>
        <v>0</v>
      </c>
      <c r="M24" s="478">
        <f t="shared" si="13"/>
        <v>0</v>
      </c>
      <c r="N24" s="478">
        <f t="shared" si="14"/>
        <v>0</v>
      </c>
      <c r="O24" s="478">
        <f t="shared" si="15"/>
        <v>0</v>
      </c>
      <c r="P24" s="479">
        <f t="shared" si="16"/>
        <v>0</v>
      </c>
      <c r="Q24" s="477">
        <f t="shared" ca="1" si="17"/>
        <v>2703.8467204216086</v>
      </c>
    </row>
    <row r="25" spans="1:17">
      <c r="A25" s="477" t="s">
        <v>638</v>
      </c>
      <c r="B25" s="478">
        <f t="shared" ca="1" si="2"/>
        <v>13400.783536109353</v>
      </c>
      <c r="C25" s="478">
        <f t="shared" ca="1" si="3"/>
        <v>0</v>
      </c>
      <c r="D25" s="478">
        <f t="shared" si="4"/>
        <v>3476.3094888905393</v>
      </c>
      <c r="E25" s="478">
        <f t="shared" si="5"/>
        <v>1126.2330470568381</v>
      </c>
      <c r="F25" s="478">
        <f t="shared" si="6"/>
        <v>5104.3345917814531</v>
      </c>
      <c r="G25" s="478">
        <f t="shared" si="7"/>
        <v>0</v>
      </c>
      <c r="H25" s="478">
        <f t="shared" si="8"/>
        <v>0</v>
      </c>
      <c r="I25" s="478">
        <f t="shared" si="9"/>
        <v>0</v>
      </c>
      <c r="J25" s="478">
        <f t="shared" si="10"/>
        <v>161.7304061103749</v>
      </c>
      <c r="K25" s="478">
        <f t="shared" si="11"/>
        <v>0</v>
      </c>
      <c r="L25" s="478">
        <f t="shared" si="12"/>
        <v>0</v>
      </c>
      <c r="M25" s="478">
        <f t="shared" si="13"/>
        <v>0</v>
      </c>
      <c r="N25" s="478">
        <f t="shared" si="14"/>
        <v>0</v>
      </c>
      <c r="O25" s="478">
        <f t="shared" si="15"/>
        <v>0</v>
      </c>
      <c r="P25" s="479">
        <f t="shared" si="16"/>
        <v>0</v>
      </c>
      <c r="Q25" s="477">
        <f t="shared" ca="1" si="17"/>
        <v>23269.39106994856</v>
      </c>
    </row>
    <row r="26" spans="1:17" s="483" customFormat="1">
      <c r="A26" s="481" t="s">
        <v>564</v>
      </c>
      <c r="B26" s="835">
        <f t="shared" ca="1" si="2"/>
        <v>12.499307460497064</v>
      </c>
      <c r="C26" s="482"/>
      <c r="D26" s="482">
        <f t="shared" si="4"/>
        <v>28.109682137258936</v>
      </c>
      <c r="E26" s="482">
        <f t="shared" si="5"/>
        <v>126.29422745709037</v>
      </c>
      <c r="F26" s="482"/>
      <c r="G26" s="482">
        <f t="shared" si="7"/>
        <v>57008.886915997908</v>
      </c>
      <c r="H26" s="482">
        <f t="shared" si="8"/>
        <v>9365.1022883910482</v>
      </c>
      <c r="I26" s="482"/>
      <c r="J26" s="482"/>
      <c r="K26" s="482"/>
      <c r="L26" s="482"/>
      <c r="M26" s="482">
        <f t="shared" si="13"/>
        <v>0</v>
      </c>
      <c r="N26" s="482"/>
      <c r="O26" s="482"/>
      <c r="P26" s="493"/>
      <c r="Q26" s="481">
        <f t="shared" ca="1" si="17"/>
        <v>66540.892421443801</v>
      </c>
    </row>
    <row r="27" spans="1:17">
      <c r="A27" s="477" t="s">
        <v>554</v>
      </c>
      <c r="B27" s="478">
        <f t="shared" ca="1" si="2"/>
        <v>0</v>
      </c>
      <c r="C27" s="478"/>
      <c r="D27" s="482">
        <f t="shared" si="4"/>
        <v>0</v>
      </c>
      <c r="E27" s="478"/>
      <c r="F27" s="478"/>
      <c r="G27" s="478">
        <f t="shared" si="7"/>
        <v>744.46354219833518</v>
      </c>
      <c r="H27" s="478"/>
      <c r="I27" s="478"/>
      <c r="J27" s="478"/>
      <c r="K27" s="478"/>
      <c r="L27" s="478"/>
      <c r="M27" s="478">
        <f t="shared" si="13"/>
        <v>0</v>
      </c>
      <c r="N27" s="478"/>
      <c r="O27" s="478"/>
      <c r="P27" s="479"/>
      <c r="Q27" s="477">
        <f t="shared" ca="1" si="17"/>
        <v>744.46354219833518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42064.064779065062</v>
      </c>
      <c r="C31" s="488">
        <f t="shared" ca="1" si="18"/>
        <v>8.4025210084033635</v>
      </c>
      <c r="D31" s="488">
        <f t="shared" ca="1" si="18"/>
        <v>50217.778259270854</v>
      </c>
      <c r="E31" s="488">
        <f t="shared" si="18"/>
        <v>3062.3992187932499</v>
      </c>
      <c r="F31" s="488">
        <f t="shared" ca="1" si="18"/>
        <v>27381.81665828226</v>
      </c>
      <c r="G31" s="488">
        <f t="shared" si="18"/>
        <v>57753.350458196241</v>
      </c>
      <c r="H31" s="488">
        <f t="shared" si="18"/>
        <v>9365.1022883910482</v>
      </c>
      <c r="I31" s="488">
        <f t="shared" si="18"/>
        <v>0</v>
      </c>
      <c r="J31" s="488">
        <f t="shared" si="18"/>
        <v>224.73040981142969</v>
      </c>
      <c r="K31" s="488">
        <f t="shared" si="18"/>
        <v>0</v>
      </c>
      <c r="L31" s="488">
        <f t="shared" ca="1" si="18"/>
        <v>0</v>
      </c>
      <c r="M31" s="488">
        <f t="shared" si="18"/>
        <v>0</v>
      </c>
      <c r="N31" s="488">
        <f t="shared" ca="1" si="18"/>
        <v>0</v>
      </c>
      <c r="O31" s="488">
        <f t="shared" si="18"/>
        <v>0</v>
      </c>
      <c r="P31" s="489">
        <f t="shared" si="18"/>
        <v>0</v>
      </c>
      <c r="Q31" s="489">
        <f t="shared" ca="1" si="18"/>
        <v>190077.64459281854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0.20625575051709452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2</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38.133333333333333</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0.20625575051709452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0.20625575051709452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2019-01-01T21:24:29Z</dcterms:modified>
</cp:coreProperties>
</file>