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L16"/>
  <c r="L18" s="1"/>
  <c r="L8" i="48" s="1"/>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J7" i="48"/>
  <c r="J24" s="1"/>
  <c r="M13" i="14"/>
  <c r="I20" i="15"/>
  <c r="J36" i="14" s="1"/>
  <c r="J12" i="17"/>
  <c r="K48" i="14" s="1"/>
  <c r="I5" i="48"/>
  <c r="I22" s="1"/>
  <c r="I31" s="1"/>
  <c r="P22" i="16"/>
  <c r="Q39" i="14" s="1"/>
  <c r="P8" i="48"/>
  <c r="P25" s="1"/>
  <c r="J15" i="14"/>
  <c r="J23" s="1"/>
  <c r="E8" i="17"/>
  <c r="F22" i="14" s="1"/>
  <c r="O18" i="16"/>
  <c r="O22" s="1"/>
  <c r="P39" i="14" s="1"/>
  <c r="B34" i="13"/>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C50" i="13"/>
  <c r="J5" s="1"/>
  <c r="J8" s="1"/>
  <c r="C5" i="48"/>
  <c r="E12" i="17" l="1"/>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I19" i="14"/>
  <c r="I20" s="1"/>
  <c r="I23" s="1"/>
  <c r="M18" i="22"/>
  <c r="N45" i="14" s="1"/>
  <c r="M9" i="48"/>
  <c r="N19" i="14"/>
  <c r="P14" i="48"/>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P55" i="14" l="1"/>
  <c r="E15"/>
  <c r="E23" s="1"/>
  <c r="J20" i="15"/>
  <c r="K36" i="14" s="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N22" i="16"/>
  <c r="O39" i="14" s="1"/>
  <c r="O41" s="1"/>
  <c r="F8" i="48"/>
  <c r="Q4"/>
  <c r="N22"/>
  <c r="R11" i="14"/>
  <c r="J21" i="48"/>
  <c r="R10" i="14"/>
  <c r="F22" i="16" l="1"/>
  <c r="G39" i="14" s="1"/>
  <c r="G41" s="1"/>
  <c r="G53" s="1"/>
  <c r="G55" s="1"/>
  <c r="O69" s="1"/>
  <c r="B9" i="6" s="1"/>
  <c r="B12" s="1"/>
  <c r="F13" i="14"/>
  <c r="F15" s="1"/>
  <c r="F23" s="1"/>
  <c r="F55" s="1"/>
  <c r="J8" i="48"/>
  <c r="J25" s="1"/>
  <c r="J31" s="1"/>
  <c r="O13" i="14"/>
  <c r="O15" s="1"/>
  <c r="N55"/>
  <c r="Q5" i="48"/>
  <c r="N25"/>
  <c r="N31" s="1"/>
  <c r="N14"/>
  <c r="E25"/>
  <c r="E31" s="1"/>
  <c r="E14"/>
  <c r="K13" i="14"/>
  <c r="K15" s="1"/>
  <c r="K23" s="1"/>
  <c r="K55" s="1"/>
  <c r="H55"/>
  <c r="E55"/>
  <c r="C78"/>
  <c r="C81" s="1"/>
  <c r="Q8" i="48"/>
  <c r="R19" i="14"/>
  <c r="R20" s="1"/>
  <c r="H14" i="48"/>
  <c r="G31"/>
  <c r="H26"/>
  <c r="H31" s="1"/>
  <c r="O53" i="14"/>
  <c r="M53"/>
  <c r="M55" s="1"/>
  <c r="C12" i="13"/>
  <c r="D37" i="14" s="1"/>
  <c r="D41" s="1"/>
  <c r="C24" i="48"/>
  <c r="C28"/>
  <c r="C22"/>
  <c r="C25"/>
  <c r="C21"/>
  <c r="R13" i="14"/>
  <c r="R15" s="1"/>
  <c r="F25" i="48"/>
  <c r="F31" s="1"/>
  <c r="F14"/>
  <c r="J14" l="1"/>
  <c r="Q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<sst xmlns="http://schemas.openxmlformats.org/spreadsheetml/2006/main" count="2111" uniqueCount="855">
  <si>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</si>
  <si>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</si>
  <si>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</si>
  <si>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</si>
  <si>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</si>
  <si>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</si>
  <si>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</si>
  <si>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</si>
  <si>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</si>
  <si>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</si>
  <si>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</si>
  <si>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</si>
  <si>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</si>
  <si>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</si>
  <si>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</si>
  <si>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</si>
  <si>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</si>
  <si>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</si>
  <si>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</si>
  <si>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</si>
  <si>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</si>
  <si>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</si>
  <si>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</si>
  <si>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</si>
  <si>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</si>
  <si>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</si>
  <si>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</si>
  <si>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</si>
  <si>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</si>
  <si>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</si>
  <si>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</si>
  <si>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</si>
  <si>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</si>
  <si>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</si>
  <si>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</si>
  <si>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</si>
  <si>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</si>
  <si>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</si>
  <si>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</si>
  <si>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</si>
  <si>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</si>
  <si>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</si>
  <si>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</si>
  <si>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</si>
  <si>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</si>
  <si>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</si>
  <si>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</si>
  <si>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</si>
  <si>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</si>
  <si>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</si>
  <si>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</si>
  <si>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</si>
  <si>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</si>
  <si>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</si>
  <si>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</si>
  <si>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</si>
  <si>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</si>
  <si>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</si>
  <si>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</si>
  <si>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</si>
  <si>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</si>
  <si>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</si>
  <si>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</si>
  <si>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</si>
  <si>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</si>
  <si>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</si>
  <si>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</si>
  <si>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</si>
  <si>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</si>
  <si>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</si>
  <si>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</si>
  <si>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</si>
  <si>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</si>
  <si>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</si>
  <si>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</si>
  <si>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</si>
  <si>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</si>
  <si>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</si>
  <si>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</si>
  <si>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</si>
  <si>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</si>
  <si>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</si>
  <si>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</si>
  <si>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</si>
  <si>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</si>
  <si>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</si>
  <si>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</si>
  <si>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</si>
  <si>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</si>
  <si>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</si>
  <si>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</si>
  <si>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</si>
  <si>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</si>
  <si>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</si>
  <si>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</si>
  <si>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</si>
  <si>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</si>
  <si>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</si>
  <si>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</si>
  <si>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</si>
  <si>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</si>
  <si>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</si>
  <si>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</si>
  <si>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</si>
  <si>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</si>
  <si>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</si>
  <si>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</si>
  <si>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</si>
  <si>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</si>
  <si>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</si>
  <si>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</si>
  <si>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</si>
  <si>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</si>
  <si>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</si>
  <si>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</si>
  <si>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</si>
  <si>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</si>
  <si>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</si>
  <si>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</si>
  <si>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</si>
  <si>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</si>
  <si>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</si>
  <si>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</si>
  <si>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</si>
  <si>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</si>
  <si>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</si>
  <si>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</si>
  <si>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</si>
  <si>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</si>
  <si>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</si>
  <si>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</si>
  <si>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</si>
  <si>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</si>
  <si>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</si>
  <si>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</si>
  <si>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</si>
  <si>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</si>
  <si>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</si>
  <si>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</si>
  <si>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</si>
  <si>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</si>
  <si>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</si>
  <si>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</si>
  <si>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</si>
  <si>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</si>
  <si>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</si>
  <si>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</si>
  <si>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</si>
  <si>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</si>
  <si>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</si>
  <si>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</si>
  <si>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</si>
  <si>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</si>
  <si>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</si>
  <si>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</si>
  <si>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</si>
  <si>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</si>
  <si>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</si>
  <si>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</si>
  <si>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</si>
  <si>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</si>
  <si>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</si>
  <si>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</si>
  <si>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</si>
  <si>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</si>
  <si>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</si>
  <si>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</si>
  <si>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</si>
  <si>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</si>
  <si>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</si>
  <si>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</si>
  <si>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</si>
  <si>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</si>
  <si>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</si>
  <si>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</si>
  <si>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</si>
  <si>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</si>
  <si>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</si>
  <si>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</si>
  <si>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</si>
  <si>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</si>
  <si>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</si>
  <si>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</si>
  <si>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</si>
  <si>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</si>
  <si>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</si>
  <si>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</si>
  <si>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</si>
  <si>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</si>
  <si>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</si>
  <si>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</si>
  <si>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</si>
  <si>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</si>
  <si>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</si>
  <si>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</si>
  <si>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</si>
  <si>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</si>
  <si>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</si>
  <si>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</si>
  <si>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</si>
  <si>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</si>
  <si>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</si>
  <si>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</si>
  <si>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</si>
  <si>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</si>
  <si>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</si>
  <si>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</si>
  <si>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</si>
  <si>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</si>
  <si>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</si>
  <si>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</si>
  <si>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</si>
  <si>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</si>
  <si>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</si>
  <si>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</si>
  <si>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</si>
  <si>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</si>
  <si>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</si>
  <si>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</si>
  <si>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</si>
  <si>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</si>
  <si>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</si>
  <si>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</si>
  <si>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</si>
  <si>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</si>
  <si>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</si>
  <si>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</si>
  <si>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</si>
  <si>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</si>
  <si>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</si>
  <si>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</si>
  <si>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</si>
  <si>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</si>
  <si>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</si>
  <si>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</si>
  <si>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</si>
  <si>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</si>
  <si>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</si>
  <si>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</si>
  <si>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</si>
  <si>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</si>
  <si>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</si>
  <si>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</si>
  <si>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</si>
  <si>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</si>
  <si>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</si>
  <si>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</si>
  <si>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</si>
  <si>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</si>
  <si>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</si>
  <si>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</si>
  <si>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</si>
  <si>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</si>
  <si>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</si>
  <si>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</si>
  <si>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</si>
  <si>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</si>
  <si>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</si>
  <si>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</si>
  <si>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</si>
  <si>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</si>
  <si>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</si>
  <si>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</si>
  <si>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</si>
  <si>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</si>
  <si>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</si>
  <si>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</si>
  <si>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</si>
  <si>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</si>
  <si>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</si>
  <si>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</si>
  <si>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</si>
  <si>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</si>
  <si>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</si>
  <si>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</si>
  <si>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</si>
  <si>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</si>
  <si>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</si>
  <si>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</si>
  <si>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</si>
  <si>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</si>
  <si>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</si>
  <si>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</si>
  <si>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</si>
  <si>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</si>
  <si>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</si>
  <si>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</si>
  <si>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</si>
  <si>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</si>
  <si>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</si>
  <si>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</si>
  <si>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</si>
  <si>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</si>
  <si>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</si>
  <si>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</si>
  <si>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</si>
  <si>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</si>
  <si>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</si>
  <si>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</si>
  <si>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</si>
  <si>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</si>
  <si>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</si>
  <si>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</si>
  <si>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</si>
  <si>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</si>
  <si>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</si>
  <si>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</si>
  <si>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</si>
  <si>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</si>
  <si>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</si>
  <si>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</si>
  <si>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</si>
  <si>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</si>
  <si>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</si>
  <si>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</si>
  <si>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</si>
  <si>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</si>
  <si>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</si>
  <si>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</si>
  <si>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</si>
  <si>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</si>
  <si>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</si>
  <si>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</si>
  <si>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</si>
  <si>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</si>
  <si>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</si>
  <si>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</si>
  <si>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</si>
  <si>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</si>
  <si>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</si>
  <si>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</si>
  <si>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</si>
  <si>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</si>
  <si>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</si>
  <si>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</si>
  <si>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</si>
  <si>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</si>
  <si>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</si>
  <si>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</si>
  <si>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</si>
  <si>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</si>
  <si>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</si>
  <si>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</si>
  <si>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</si>
  <si>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</si>
  <si>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</si>
  <si>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</si>
  <si>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</si>
  <si>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</si>
  <si>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</si>
  <si>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</si>
  <si>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</si>
  <si>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</si>
  <si>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</si>
  <si>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</si>
  <si>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</si>
  <si>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</si>
  <si>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</si>
  <si>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</si>
  <si>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</si>
  <si>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</si>
  <si>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</si>
  <si>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</si>
  <si>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</si>
  <si>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</si>
  <si>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</si>
  <si>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</si>
  <si>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</si>
  <si>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</si>
  <si>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</si>
  <si>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</si>
  <si>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</si>
  <si>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</si>
  <si>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</si>
  <si>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</si>
  <si>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</si>
  <si>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</si>
  <si>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</si>
  <si>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</si>
  <si>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</si>
  <si>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</si>
  <si>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</si>
  <si>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</si>
  <si>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</si>
  <si>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</si>
  <si>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</si>
  <si>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</si>
  <si>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</si>
  <si>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</si>
  <si>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</si>
  <si>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</si>
  <si>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</si>
  <si>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</si>
  <si>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</si>
  <si>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</si>
  <si>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</si>
  <si>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</si>
  <si>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</si>
  <si>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</si>
  <si>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</si>
  <si>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</si>
  <si>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</si>
  <si>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</si>
  <si>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</si>
  <si>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</si>
  <si>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</si>
  <si>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</si>
  <si>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</si>
  <si>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</si>
  <si>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</si>
  <si>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</si>
  <si>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</si>
  <si>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</si>
  <si>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</si>
  <si>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</si>
  <si>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</si>
  <si>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</si>
  <si>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</si>
  <si>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</si>
  <si>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</si>
  <si>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</si>
  <si>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</si>
  <si>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</si>
  <si>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</si>
  <si>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</si>
  <si>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</si>
  <si>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</si>
  <si>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</si>
  <si>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</si>
  <si>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</si>
  <si>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</si>
  <si>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</si>
  <si>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</si>
  <si>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</si>
  <si>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</si>
  <si>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</si>
  <si>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</si>
  <si>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</si>
  <si>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</si>
  <si>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</si>
  <si>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</si>
  <si>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</si>
  <si>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</si>
  <si>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</si>
  <si>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</si>
  <si>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</si>
  <si>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</si>
  <si>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</si>
  <si>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</si>
  <si>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</si>
  <si>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</si>
  <si>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</si>
  <si>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</si>
  <si>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</si>
  <si>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</si>
  <si>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</si>
  <si>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</si>
  <si>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</si>
  <si>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</si>
  <si>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</si>
  <si>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</si>
  <si>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</si>
  <si>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</si>
  <si>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</si>
  <si>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</si>
  <si>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</si>
  <si>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</si>
  <si>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</si>
  <si>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</si>
  <si>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</si>
  <si>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</si>
  <si>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</si>
  <si>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</si>
  <si>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</si>
  <si>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</si>
  <si>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</si>
  <si>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</si>
  <si>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</si>
  <si>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</si>
  <si>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</si>
  <si>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</si>
  <si>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</si>
  <si>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</si>
  <si>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</si>
  <si>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</si>
  <si>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</si>
  <si>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</si>
  <si>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</si>
  <si>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</si>
  <si>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</si>
  <si>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</si>
  <si>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</si>
  <si>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</si>
  <si>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</si>
  <si>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</si>
  <si>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</si>
  <si>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</si>
  <si>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</si>
  <si>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</si>
  <si>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</si>
  <si>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</si>
  <si>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</si>
  <si>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</si>
  <si>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</si>
  <si>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</si>
  <si>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</si>
  <si>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</si>
  <si>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</si>
  <si>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</si>
  <si>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</si>
  <si>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</si>
  <si>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</si>
  <si>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</si>
  <si>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</si>
  <si>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</si>
  <si>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</si>
  <si>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</si>
  <si>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</si>
  <si>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</si>
  <si>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</si>
  <si>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</si>
  <si>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</si>
  <si>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</si>
  <si>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</si>
  <si>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</si>
  <si>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</si>
  <si>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</si>
  <si>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</si>
  <si>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</si>
  <si>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</si>
  <si>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</si>
  <si>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</si>
  <si>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</si>
  <si>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</si>
  <si>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</si>
  <si>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</si>
  <si>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</si>
  <si>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</si>
  <si>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</si>
  <si>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</si>
  <si>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</si>
  <si>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</si>
  <si>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</si>
  <si>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</si>
  <si>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</si>
  <si>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</si>
  <si>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</si>
  <si>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</si>
  <si>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</si>
  <si>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</si>
  <si>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</si>
  <si>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</si>
  <si>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</si>
  <si>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</si>
  <si>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</si>
  <si>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</si>
  <si>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</si>
  <si>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</si>
  <si>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</si>
  <si>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</si>
  <si>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</si>
  <si>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</si>
  <si>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</si>
  <si>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</si>
  <si>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</si>
  <si>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</si>
  <si>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</si>
  <si>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</si>
  <si>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</si>
  <si>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</si>
  <si>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</si>
  <si>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</si>
  <si>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</si>
  <si>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</si>
  <si>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</si>
  <si>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</si>
  <si>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</si>
  <si>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</si>
  <si>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</si>
  <si>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</si>
  <si>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</si>
  <si>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</si>
  <si>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</si>
  <si>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</si>
  <si>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</si>
  <si>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</si>
  <si>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</si>
  <si>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</si>
  <si>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</si>
  <si>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</si>
  <si>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</si>
  <si>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</si>
  <si>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</si>
  <si>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</si>
  <si>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</si>
  <si>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</si>
  <si>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</si>
  <si>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</si>
  <si>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</si>
  <si>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</si>
  <si>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</si>
  <si>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</si>
  <si>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</si>
  <si>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</si>
  <si>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</si>
  <si>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</si>
  <si>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</si>
  <si>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</si>
  <si>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</si>
  <si>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</si>
  <si>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</si>
  <si>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</si>
  <si>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</si>
  <si>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</si>
  <si>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</si>
  <si>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</si>
  <si>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</si>
  <si>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</si>
  <si>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</si>
  <si>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</si>
  <si>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</si>
  <si>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</si>
  <si>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</si>
  <si>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</si>
  <si>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</si>
  <si>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</si>
  <si>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</si>
  <si>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</si>
  <si>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</si>
  <si>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</si>
  <si>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</si>
  <si>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</si>
  <si>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</si>
  <si>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</si>
  <si>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</si>
  <si>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</si>
  <si>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</si>
  <si>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</si>
  <si>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</si>
  <si>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</si>
  <si>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</si>
  <si>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</si>
  <si>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</si>
  <si>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</si>
  <si>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</si>
  <si>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</si>
  <si>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</si>
  <si>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</si>
  <si>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</si>
  <si>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</si>
  <si>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</si>
  <si>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</si>
  <si>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</si>
  <si>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</si>
  <si>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</si>
  <si>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</si>
  <si>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</si>
  <si>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</si>
  <si>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</si>
  <si>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</si>
  <si>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</si>
  <si>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</si>
  <si>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</si>
  <si>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</si>
  <si>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</si>
  <si>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</si>
  <si>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</si>
  <si>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</si>
  <si>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</si>
  <si>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</si>
  <si>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</si>
  <si>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</si>
  <si>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</si>
  <si>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</si>
  <si>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</si>
  <si>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</si>
  <si>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</si>
  <si>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</si>
  <si>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</si>
  <si>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</si>
  <si>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</si>
  <si>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</si>
  <si>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</si>
  <si>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</si>
  <si>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</si>
  <si>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</si>
  <si>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</si>
  <si>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</si>
  <si>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</si>
  <si>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</si>
  <si>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</si>
  <si>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</si>
  <si>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</si>
  <si>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</si>
  <si>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</si>
  <si>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</si>
  <si>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</si>
  <si>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</si>
  <si>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</si>
  <si>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</si>
  <si>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</si>
  <si>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</si>
  <si>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</si>
  <si>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</si>
  <si>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</si>
  <si>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</si>
  <si>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</si>
  <si>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</si>
  <si>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</si>
  <si>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</si>
  <si>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</si>
  <si>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</si>
  <si>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</si>
  <si>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</si>
  <si>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</si>
  <si>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</si>
  <si>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</si>
  <si>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</si>
  <si>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</si>
  <si>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</si>
  <si>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</si>
  <si>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</si>
  <si>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</si>
  <si>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</si>
  <si>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</si>
  <si>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</si>
  <si>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</si>
  <si>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</si>
  <si>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</si>
  <si>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</si>
  <si>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</si>
  <si>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</si>
  <si>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</si>
  <si>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</si>
  <si>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</si>
  <si>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</si>
  <si>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</si>
  <si>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</si>
  <si>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</si>
  <si>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</si>
  <si>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</si>
  <si>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</si>
  <si>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</si>
  <si>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</si>
  <si>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</si>
  <si>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</si>
  <si>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</si>
  <si>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</si>
  <si>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</si>
  <si>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</si>
  <si>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</si>
  <si>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</si>
  <si>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</si>
  <si>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</si>
  <si>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</si>
  <si>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</si>
  <si>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</si>
  <si>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</si>
  <si>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</si>
  <si>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</si>
  <si>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</si>
  <si>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</si>
  <si>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</si>
  <si>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</si>
  <si>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</si>
  <si>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</si>
  <si>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</si>
  <si>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</si>
  <si>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</si>
  <si>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</si>
  <si>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</si>
  <si>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</si>
  <si>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</si>
  <si>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</si>
  <si>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</si>
  <si>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</si>
  <si>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</si>
  <si>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</si>
  <si>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</si>
  <si>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</si>
  <si>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</si>
  <si>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</si>
  <si>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</si>
  <si>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</si>
  <si>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</si>
  <si>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</si>
  <si>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</si>
  <si>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</si>
  <si>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</si>
  <si>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</si>
  <si>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</si>
  <si>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</si>
  <si>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</si>
  <si>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</si>
  <si>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</si>
  <si>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</si>
  <si>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</si>
  <si>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</si>
  <si>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</si>
  <si>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</si>
  <si>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</si>
  <si>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</si>
  <si>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</si>
  <si>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</si>
  <si>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</si>
  <si>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</si>
  <si>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</si>
  <si>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</si>
  <si>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</si>
  <si>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</si>
  <si>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</si>
  <si>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</si>
  <si>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</si>
  <si>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</si>
  <si>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</si>
  <si>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</si>
  <si>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</si>
  <si>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</si>
  <si>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</si>
  <si>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</si>
  <si>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</si>
  <si>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</si>
  <si>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</si>
  <si>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</si>
  <si>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</si>
  <si>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</si>
  <si>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</si>
  <si>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</si>
  <si>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</si>
  <si>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</si>
  <si>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</si>
  <si>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</si>
  <si>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</si>
  <si>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</si>
  <si>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</si>
  <si>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</si>
  <si>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</si>
  <si>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</si>
  <si>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</si>
  <si>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</si>
  <si>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</si>
  <si>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</si>
  <si>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</si>
  <si>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</si>
  <si>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</si>
  <si>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</si>
  <si>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</si>
  <si>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12025</t>
  </si>
  <si>
    <t>MECHELEN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</si>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</sst>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517102.70848535607</c:v>
                </c:pt>
                <c:pt idx="1">
                  <c:v>472330.30990430183</c:v>
                </c:pt>
                <c:pt idx="2">
                  <c:v>4214.7460000000001</c:v>
                </c:pt>
                <c:pt idx="3">
                  <c:v>25839.2470794947</c:v>
                </c:pt>
                <c:pt idx="4">
                  <c:v>560697.21333067503</c:v>
                </c:pt>
                <c:pt idx="5">
                  <c:v>666525.08085033519</c:v>
                </c:pt>
                <c:pt idx="6">
                  <c:v>11166.735622774717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79392"/>
        <c:axId val="183997568"/>
      </c:barChart>
      <c:catAx>
        <c:axId val="183979392"/>
        <c:scaling>
          <c:orientation val="minMax"/>
        </c:scaling>
        <c:axPos val="b"/>
        <c:numFmt formatCode="General" sourceLinked="0"/>
        <c:tickLblPos val="nextTo"/>
        <c:crossAx val="183997568"/>
        <c:crosses val="autoZero"/>
        <c:auto val="1"/>
        <c:lblAlgn val="ctr"/>
        <c:lblOffset val="100"/>
      </c:catAx>
      <c:valAx>
        <c:axId val="183997568"/>
        <c:scaling>
          <c:orientation val="minMax"/>
        </c:scaling>
        <c:axPos val="l"/>
        <c:majorGridlines/>
        <c:numFmt formatCode="#,##0" sourceLinked="1"/>
        <c:tickLblPos val="nextTo"/>
        <c:crossAx val="18397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517102.70848535607</c:v>
                </c:pt>
                <c:pt idx="1">
                  <c:v>472330.30990430183</c:v>
                </c:pt>
                <c:pt idx="2">
                  <c:v>4214.7460000000001</c:v>
                </c:pt>
                <c:pt idx="3">
                  <c:v>25839.2470794947</c:v>
                </c:pt>
                <c:pt idx="4">
                  <c:v>560697.21333067503</c:v>
                </c:pt>
                <c:pt idx="5">
                  <c:v>666525.08085033519</c:v>
                </c:pt>
                <c:pt idx="6">
                  <c:v>11166.735622774717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99165.878024451275</c:v>
                </c:pt>
                <c:pt idx="1">
                  <c:v>98814.791876911331</c:v>
                </c:pt>
                <c:pt idx="2">
                  <c:v>906.04886643023519</c:v>
                </c:pt>
                <c:pt idx="3">
                  <c:v>5463.3332370157104</c:v>
                </c:pt>
                <c:pt idx="4">
                  <c:v>110902.54658627158</c:v>
                </c:pt>
                <c:pt idx="5">
                  <c:v>170591.67523283666</c:v>
                </c:pt>
                <c:pt idx="6">
                  <c:v>2891.8206056236645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322304"/>
        <c:axId val="184406016"/>
      </c:barChart>
      <c:catAx>
        <c:axId val="184322304"/>
        <c:scaling>
          <c:orientation val="minMax"/>
        </c:scaling>
        <c:axPos val="b"/>
        <c:numFmt formatCode="General" sourceLinked="0"/>
        <c:tickLblPos val="nextTo"/>
        <c:crossAx val="184406016"/>
        <c:crosses val="autoZero"/>
        <c:auto val="1"/>
        <c:lblAlgn val="ctr"/>
        <c:lblOffset val="100"/>
      </c:catAx>
      <c:valAx>
        <c:axId val="184406016"/>
        <c:scaling>
          <c:orientation val="minMax"/>
        </c:scaling>
        <c:axPos val="l"/>
        <c:majorGridlines/>
        <c:numFmt formatCode="#,##0" sourceLinked="1"/>
        <c:tickLblPos val="nextTo"/>
        <c:crossAx val="1843223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99165.878024451275</c:v>
                </c:pt>
                <c:pt idx="1">
                  <c:v>98814.791876911331</c:v>
                </c:pt>
                <c:pt idx="2">
                  <c:v>906.04886643023519</c:v>
                </c:pt>
                <c:pt idx="3">
                  <c:v>5463.3332370157104</c:v>
                </c:pt>
                <c:pt idx="4">
                  <c:v>110902.54658627158</c:v>
                </c:pt>
                <c:pt idx="5">
                  <c:v>170591.67523283666</c:v>
                </c:pt>
                <c:pt idx="6">
                  <c:v>2891.8206056236645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12025</v>
      </c>
      <c r="B6" s="415"/>
      <c r="C6" s="416"/>
    </row>
    <row r="7" spans="1:7" s="413" customFormat="1" ht="15.75" customHeight="1">
      <c r="A7" s="417" t="str">
        <f>txtMunicipality</f>
        <v>MECHELEN</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202385.48935230004</v>
      </c>
      <c r="D10" s="718">
        <f ca="1">tertiair!C16</f>
        <v>0</v>
      </c>
      <c r="E10" s="718">
        <f ca="1">tertiair!D16</f>
        <v>207690.95141830202</v>
      </c>
      <c r="F10" s="718">
        <f>tertiair!E16</f>
        <v>3351.9135870875116</v>
      </c>
      <c r="G10" s="718">
        <f ca="1">tertiair!F16</f>
        <v>50559.323344429242</v>
      </c>
      <c r="H10" s="718">
        <f>tertiair!G16</f>
        <v>0</v>
      </c>
      <c r="I10" s="718">
        <f>tertiair!H16</f>
        <v>0</v>
      </c>
      <c r="J10" s="718">
        <f>tertiair!I16</f>
        <v>0</v>
      </c>
      <c r="K10" s="718">
        <f>tertiair!J16</f>
        <v>0</v>
      </c>
      <c r="L10" s="718">
        <f>tertiair!K16</f>
        <v>0</v>
      </c>
      <c r="M10" s="718">
        <f ca="1">tertiair!L16</f>
        <v>0</v>
      </c>
      <c r="N10" s="718">
        <f>tertiair!M16</f>
        <v>0</v>
      </c>
      <c r="O10" s="718">
        <f ca="1">tertiair!N16</f>
        <v>12381.088202183031</v>
      </c>
      <c r="P10" s="718">
        <f>tertiair!O16</f>
        <v>4.6900000000000004</v>
      </c>
      <c r="Q10" s="719">
        <f>tertiair!P16</f>
        <v>171.6</v>
      </c>
      <c r="R10" s="721">
        <f ca="1">SUM(C10:Q10)</f>
        <v>476545.05590430187</v>
      </c>
      <c r="S10" s="67"/>
    </row>
    <row r="11" spans="1:19" s="474" customFormat="1">
      <c r="A11" s="870" t="s">
        <v>225</v>
      </c>
      <c r="B11" s="875"/>
      <c r="C11" s="718">
        <f>huishoudens!B8</f>
        <v>113614.30442007323</v>
      </c>
      <c r="D11" s="718">
        <f>huishoudens!C8</f>
        <v>0</v>
      </c>
      <c r="E11" s="718">
        <f>huishoudens!D8</f>
        <v>360863.20526871999</v>
      </c>
      <c r="F11" s="718">
        <f>huishoudens!E8</f>
        <v>8139.6957958483681</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32058.859667381181</v>
      </c>
      <c r="P11" s="718">
        <f>huishoudens!O8</f>
        <v>558.11</v>
      </c>
      <c r="Q11" s="719">
        <f>huishoudens!P8</f>
        <v>1868.5333333333333</v>
      </c>
      <c r="R11" s="721">
        <f>SUM(C11:Q11)</f>
        <v>517102.70848535607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201234.89244207402</v>
      </c>
      <c r="D13" s="718">
        <f>industrie!C18</f>
        <v>0</v>
      </c>
      <c r="E13" s="718">
        <f>industrie!D18</f>
        <v>263375.4083137078</v>
      </c>
      <c r="F13" s="718">
        <f>industrie!E18</f>
        <v>10464.428161813235</v>
      </c>
      <c r="G13" s="718">
        <f>industrie!F18</f>
        <v>43338.983751048989</v>
      </c>
      <c r="H13" s="718">
        <f>industrie!G18</f>
        <v>0</v>
      </c>
      <c r="I13" s="718">
        <f>industrie!H18</f>
        <v>0</v>
      </c>
      <c r="J13" s="718">
        <f>industrie!I18</f>
        <v>0</v>
      </c>
      <c r="K13" s="718">
        <f>industrie!J18</f>
        <v>1395.7078350868946</v>
      </c>
      <c r="L13" s="718">
        <f>industrie!K18</f>
        <v>0</v>
      </c>
      <c r="M13" s="718">
        <f>industrie!L18</f>
        <v>0</v>
      </c>
      <c r="N13" s="718">
        <f>industrie!M18</f>
        <v>0</v>
      </c>
      <c r="O13" s="718">
        <f>industrie!N18</f>
        <v>40887.792826944104</v>
      </c>
      <c r="P13" s="718">
        <f>industrie!O18</f>
        <v>0</v>
      </c>
      <c r="Q13" s="719">
        <f>industrie!P18</f>
        <v>0</v>
      </c>
      <c r="R13" s="721">
        <f>SUM(C13:Q13)</f>
        <v>560697.21333067503</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517234.68621444725</v>
      </c>
      <c r="D15" s="723">
        <f t="shared" ref="D15:Q15" ca="1" si="0">SUM(D9:D14)</f>
        <v>0</v>
      </c>
      <c r="E15" s="723">
        <f t="shared" ca="1" si="0"/>
        <v>831929.56500072975</v>
      </c>
      <c r="F15" s="723">
        <f t="shared" si="0"/>
        <v>21956.037544749117</v>
      </c>
      <c r="G15" s="723">
        <f t="shared" ca="1" si="0"/>
        <v>93898.307095478231</v>
      </c>
      <c r="H15" s="723">
        <f t="shared" si="0"/>
        <v>0</v>
      </c>
      <c r="I15" s="723">
        <f t="shared" si="0"/>
        <v>0</v>
      </c>
      <c r="J15" s="723">
        <f t="shared" si="0"/>
        <v>0</v>
      </c>
      <c r="K15" s="723">
        <f t="shared" si="0"/>
        <v>1395.7078350868946</v>
      </c>
      <c r="L15" s="723">
        <f t="shared" si="0"/>
        <v>0</v>
      </c>
      <c r="M15" s="723">
        <f t="shared" ca="1" si="0"/>
        <v>0</v>
      </c>
      <c r="N15" s="723">
        <f t="shared" si="0"/>
        <v>0</v>
      </c>
      <c r="O15" s="723">
        <f t="shared" ca="1" si="0"/>
        <v>85327.740696508321</v>
      </c>
      <c r="P15" s="723">
        <f t="shared" si="0"/>
        <v>562.80000000000007</v>
      </c>
      <c r="Q15" s="724">
        <f t="shared" si="0"/>
        <v>2040.1333333333332</v>
      </c>
      <c r="R15" s="725">
        <f ca="1">SUM(R9:R14)</f>
        <v>1554344.9777203328</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10830.788785107357</v>
      </c>
      <c r="I18" s="718">
        <f>transport!H54</f>
        <v>0</v>
      </c>
      <c r="J18" s="718">
        <f>transport!I54</f>
        <v>0</v>
      </c>
      <c r="K18" s="718">
        <f>transport!J54</f>
        <v>0</v>
      </c>
      <c r="L18" s="718">
        <f>transport!K54</f>
        <v>0</v>
      </c>
      <c r="M18" s="718">
        <f>transport!L54</f>
        <v>0</v>
      </c>
      <c r="N18" s="718">
        <f>transport!M54</f>
        <v>335.94683766735983</v>
      </c>
      <c r="O18" s="718">
        <f>transport!N54</f>
        <v>0</v>
      </c>
      <c r="P18" s="718">
        <f>transport!O54</f>
        <v>0</v>
      </c>
      <c r="Q18" s="719">
        <f>transport!P54</f>
        <v>0</v>
      </c>
      <c r="R18" s="721">
        <f>SUM(C18:Q18)</f>
        <v>11166.735622774717</v>
      </c>
      <c r="S18" s="67"/>
    </row>
    <row r="19" spans="1:19" s="474" customFormat="1" ht="15" thickBot="1">
      <c r="A19" s="870" t="s">
        <v>307</v>
      </c>
      <c r="B19" s="875"/>
      <c r="C19" s="727">
        <f>transport!B14</f>
        <v>174.92502747246303</v>
      </c>
      <c r="D19" s="727">
        <f>transport!C14</f>
        <v>0</v>
      </c>
      <c r="E19" s="727">
        <f>transport!D14</f>
        <v>383.13615345006491</v>
      </c>
      <c r="F19" s="727">
        <f>transport!E14</f>
        <v>1660.254978697933</v>
      </c>
      <c r="G19" s="727">
        <f>transport!F14</f>
        <v>0</v>
      </c>
      <c r="H19" s="727">
        <f>transport!G14</f>
        <v>538907.79421159124</v>
      </c>
      <c r="I19" s="727">
        <f>transport!H14</f>
        <v>105266.74280272609</v>
      </c>
      <c r="J19" s="727">
        <f>transport!I14</f>
        <v>0</v>
      </c>
      <c r="K19" s="727">
        <f>transport!J14</f>
        <v>0</v>
      </c>
      <c r="L19" s="727">
        <f>transport!K14</f>
        <v>0</v>
      </c>
      <c r="M19" s="727">
        <f>transport!L14</f>
        <v>0</v>
      </c>
      <c r="N19" s="727">
        <f>transport!M14</f>
        <v>20132.227676397451</v>
      </c>
      <c r="O19" s="727">
        <f>transport!N14</f>
        <v>0</v>
      </c>
      <c r="P19" s="727">
        <f>transport!O14</f>
        <v>0</v>
      </c>
      <c r="Q19" s="728">
        <f>transport!P14</f>
        <v>0</v>
      </c>
      <c r="R19" s="729">
        <f>SUM(C19:Q19)</f>
        <v>666525.08085033519</v>
      </c>
      <c r="S19" s="67"/>
    </row>
    <row r="20" spans="1:19" s="474" customFormat="1" ht="15.75" thickBot="1">
      <c r="A20" s="730" t="s">
        <v>230</v>
      </c>
      <c r="B20" s="878"/>
      <c r="C20" s="873">
        <f>SUM(C17:C19)</f>
        <v>174.92502747246303</v>
      </c>
      <c r="D20" s="731">
        <f t="shared" ref="D20:R20" si="1">SUM(D17:D19)</f>
        <v>0</v>
      </c>
      <c r="E20" s="731">
        <f t="shared" si="1"/>
        <v>383.13615345006491</v>
      </c>
      <c r="F20" s="731">
        <f t="shared" si="1"/>
        <v>1660.254978697933</v>
      </c>
      <c r="G20" s="731">
        <f t="shared" si="1"/>
        <v>0</v>
      </c>
      <c r="H20" s="731">
        <f t="shared" si="1"/>
        <v>549738.58299669856</v>
      </c>
      <c r="I20" s="731">
        <f t="shared" si="1"/>
        <v>105266.74280272609</v>
      </c>
      <c r="J20" s="731">
        <f t="shared" si="1"/>
        <v>0</v>
      </c>
      <c r="K20" s="731">
        <f t="shared" si="1"/>
        <v>0</v>
      </c>
      <c r="L20" s="731">
        <f t="shared" si="1"/>
        <v>0</v>
      </c>
      <c r="M20" s="731">
        <f t="shared" si="1"/>
        <v>0</v>
      </c>
      <c r="N20" s="731">
        <f t="shared" si="1"/>
        <v>20468.174514064813</v>
      </c>
      <c r="O20" s="731">
        <f t="shared" si="1"/>
        <v>0</v>
      </c>
      <c r="P20" s="731">
        <f t="shared" si="1"/>
        <v>0</v>
      </c>
      <c r="Q20" s="732">
        <f t="shared" si="1"/>
        <v>0</v>
      </c>
      <c r="R20" s="733">
        <f t="shared" si="1"/>
        <v>677691.81647310988</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892.77984520000007</v>
      </c>
      <c r="D22" s="727">
        <f>+landbouw!C8</f>
        <v>0</v>
      </c>
      <c r="E22" s="727">
        <f>+landbouw!D8</f>
        <v>21531.638058774141</v>
      </c>
      <c r="F22" s="727">
        <f>+landbouw!E8</f>
        <v>23.02136432941575</v>
      </c>
      <c r="G22" s="727">
        <f>+landbouw!F8</f>
        <v>3263.2803558683531</v>
      </c>
      <c r="H22" s="727">
        <f>+landbouw!G8</f>
        <v>0</v>
      </c>
      <c r="I22" s="727">
        <f>+landbouw!H8</f>
        <v>0</v>
      </c>
      <c r="J22" s="727">
        <f>+landbouw!I8</f>
        <v>0</v>
      </c>
      <c r="K22" s="727">
        <f>+landbouw!J8</f>
        <v>128.52745532279198</v>
      </c>
      <c r="L22" s="727">
        <f>+landbouw!K8</f>
        <v>0</v>
      </c>
      <c r="M22" s="727">
        <f>+landbouw!L8</f>
        <v>0</v>
      </c>
      <c r="N22" s="727">
        <f>+landbouw!M8</f>
        <v>0</v>
      </c>
      <c r="O22" s="727">
        <f>+landbouw!N8</f>
        <v>0</v>
      </c>
      <c r="P22" s="727">
        <f>+landbouw!O8</f>
        <v>0</v>
      </c>
      <c r="Q22" s="728">
        <f>+landbouw!P8</f>
        <v>0</v>
      </c>
      <c r="R22" s="729">
        <f>SUM(C22:Q22)</f>
        <v>25839.2470794947</v>
      </c>
      <c r="S22" s="67"/>
    </row>
    <row r="23" spans="1:19" s="474" customFormat="1" ht="17.25" thickTop="1" thickBot="1">
      <c r="A23" s="734" t="s">
        <v>116</v>
      </c>
      <c r="B23" s="864"/>
      <c r="C23" s="735">
        <f ca="1">C20+C15+C22</f>
        <v>518302.39108711976</v>
      </c>
      <c r="D23" s="735">
        <f t="shared" ref="D23:Q23" ca="1" si="2">D20+D15+D22</f>
        <v>0</v>
      </c>
      <c r="E23" s="735">
        <f t="shared" ca="1" si="2"/>
        <v>853844.33921295404</v>
      </c>
      <c r="F23" s="735">
        <f t="shared" si="2"/>
        <v>23639.313887776465</v>
      </c>
      <c r="G23" s="735">
        <f t="shared" ca="1" si="2"/>
        <v>97161.587451346582</v>
      </c>
      <c r="H23" s="735">
        <f t="shared" si="2"/>
        <v>549738.58299669856</v>
      </c>
      <c r="I23" s="735">
        <f t="shared" si="2"/>
        <v>105266.74280272609</v>
      </c>
      <c r="J23" s="735">
        <f t="shared" si="2"/>
        <v>0</v>
      </c>
      <c r="K23" s="735">
        <f t="shared" si="2"/>
        <v>1524.2352904096865</v>
      </c>
      <c r="L23" s="735">
        <f t="shared" si="2"/>
        <v>0</v>
      </c>
      <c r="M23" s="735">
        <f t="shared" ca="1" si="2"/>
        <v>0</v>
      </c>
      <c r="N23" s="735">
        <f t="shared" si="2"/>
        <v>20468.174514064813</v>
      </c>
      <c r="O23" s="735">
        <f t="shared" ca="1" si="2"/>
        <v>85327.740696508321</v>
      </c>
      <c r="P23" s="735">
        <f t="shared" si="2"/>
        <v>562.80000000000007</v>
      </c>
      <c r="Q23" s="736">
        <f t="shared" si="2"/>
        <v>2040.1333333333332</v>
      </c>
      <c r="R23" s="737">
        <f ca="1">R20+R15+R22</f>
        <v>2257876.0412729378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43507.044839613081</v>
      </c>
      <c r="D36" s="718">
        <f ca="1">tertiair!C20</f>
        <v>0</v>
      </c>
      <c r="E36" s="718">
        <f ca="1">tertiair!D20</f>
        <v>41953.572186497011</v>
      </c>
      <c r="F36" s="718">
        <f>tertiair!E20</f>
        <v>760.88438426886512</v>
      </c>
      <c r="G36" s="718">
        <f ca="1">tertiair!F20</f>
        <v>13499.339332962609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99720.84074334157</v>
      </c>
    </row>
    <row r="37" spans="1:18">
      <c r="A37" s="885" t="s">
        <v>225</v>
      </c>
      <c r="B37" s="892"/>
      <c r="C37" s="718">
        <f ca="1">huishoudens!B12</f>
        <v>24423.799614512242</v>
      </c>
      <c r="D37" s="718">
        <f ca="1">huishoudens!C12</f>
        <v>0</v>
      </c>
      <c r="E37" s="718">
        <f>huishoudens!D12</f>
        <v>72894.367464281444</v>
      </c>
      <c r="F37" s="718">
        <f>huishoudens!E12</f>
        <v>1847.7109456575797</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99165.878024451275</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43259.699679020152</v>
      </c>
      <c r="D39" s="718">
        <f ca="1">industrie!C22</f>
        <v>0</v>
      </c>
      <c r="E39" s="718">
        <f>industrie!D22</f>
        <v>53201.832479368975</v>
      </c>
      <c r="F39" s="718">
        <f>industrie!E22</f>
        <v>2375.4251927316045</v>
      </c>
      <c r="G39" s="718">
        <f>industrie!F22</f>
        <v>11571.508661530081</v>
      </c>
      <c r="H39" s="718">
        <f>industrie!G22</f>
        <v>0</v>
      </c>
      <c r="I39" s="718">
        <f>industrie!H22</f>
        <v>0</v>
      </c>
      <c r="J39" s="718">
        <f>industrie!I22</f>
        <v>0</v>
      </c>
      <c r="K39" s="718">
        <f>industrie!J22</f>
        <v>494.08057362076067</v>
      </c>
      <c r="L39" s="718">
        <f>industrie!K22</f>
        <v>0</v>
      </c>
      <c r="M39" s="718">
        <f>industrie!L22</f>
        <v>0</v>
      </c>
      <c r="N39" s="718">
        <f>industrie!M22</f>
        <v>0</v>
      </c>
      <c r="O39" s="718">
        <f>industrie!N22</f>
        <v>0</v>
      </c>
      <c r="P39" s="718">
        <f>industrie!O22</f>
        <v>0</v>
      </c>
      <c r="Q39" s="828">
        <f>industrie!P22</f>
        <v>0</v>
      </c>
      <c r="R39" s="918">
        <f ca="1">SUM(C39:Q39)</f>
        <v>110902.54658627158</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111190.54413314548</v>
      </c>
      <c r="D41" s="763">
        <f t="shared" ref="D41:R41" ca="1" si="4">SUM(D35:D40)</f>
        <v>0</v>
      </c>
      <c r="E41" s="763">
        <f t="shared" ca="1" si="4"/>
        <v>168049.77213014744</v>
      </c>
      <c r="F41" s="763">
        <f t="shared" si="4"/>
        <v>4984.0205226580492</v>
      </c>
      <c r="G41" s="763">
        <f t="shared" ca="1" si="4"/>
        <v>25070.847994492688</v>
      </c>
      <c r="H41" s="763">
        <f t="shared" si="4"/>
        <v>0</v>
      </c>
      <c r="I41" s="763">
        <f t="shared" si="4"/>
        <v>0</v>
      </c>
      <c r="J41" s="763">
        <f t="shared" si="4"/>
        <v>0</v>
      </c>
      <c r="K41" s="763">
        <f t="shared" si="4"/>
        <v>494.08057362076067</v>
      </c>
      <c r="L41" s="763">
        <f t="shared" si="4"/>
        <v>0</v>
      </c>
      <c r="M41" s="763">
        <f t="shared" ca="1" si="4"/>
        <v>0</v>
      </c>
      <c r="N41" s="763">
        <f t="shared" si="4"/>
        <v>0</v>
      </c>
      <c r="O41" s="763">
        <f t="shared" ca="1" si="4"/>
        <v>0</v>
      </c>
      <c r="P41" s="763">
        <f t="shared" si="4"/>
        <v>0</v>
      </c>
      <c r="Q41" s="764">
        <f t="shared" si="4"/>
        <v>0</v>
      </c>
      <c r="R41" s="765">
        <f t="shared" ca="1" si="4"/>
        <v>309789.26535406441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2891.8206056236645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2891.8206056236645</v>
      </c>
    </row>
    <row r="45" spans="1:18" ht="15" thickBot="1">
      <c r="A45" s="888" t="s">
        <v>307</v>
      </c>
      <c r="B45" s="898"/>
      <c r="C45" s="727">
        <f ca="1">transport!B18</f>
        <v>37.603837301631671</v>
      </c>
      <c r="D45" s="727">
        <f>transport!C18</f>
        <v>0</v>
      </c>
      <c r="E45" s="727">
        <f>transport!D18</f>
        <v>77.393502996913114</v>
      </c>
      <c r="F45" s="727">
        <f>transport!E18</f>
        <v>376.87788016443079</v>
      </c>
      <c r="G45" s="727">
        <f>transport!F18</f>
        <v>0</v>
      </c>
      <c r="H45" s="727">
        <f>transport!G18</f>
        <v>143888.38105449488</v>
      </c>
      <c r="I45" s="727">
        <f>transport!H18</f>
        <v>26211.418957878795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170591.67523283666</v>
      </c>
    </row>
    <row r="46" spans="1:18" ht="15.75" thickBot="1">
      <c r="A46" s="886" t="s">
        <v>230</v>
      </c>
      <c r="B46" s="899"/>
      <c r="C46" s="763">
        <f t="shared" ref="C46:R46" ca="1" si="5">SUM(C43:C45)</f>
        <v>37.603837301631671</v>
      </c>
      <c r="D46" s="763">
        <f t="shared" ca="1" si="5"/>
        <v>0</v>
      </c>
      <c r="E46" s="763">
        <f t="shared" si="5"/>
        <v>77.393502996913114</v>
      </c>
      <c r="F46" s="763">
        <f t="shared" si="5"/>
        <v>376.87788016443079</v>
      </c>
      <c r="G46" s="763">
        <f t="shared" si="5"/>
        <v>0</v>
      </c>
      <c r="H46" s="763">
        <f t="shared" si="5"/>
        <v>146780.20166011853</v>
      </c>
      <c r="I46" s="763">
        <f t="shared" si="5"/>
        <v>26211.418957878795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173483.49583846031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191.92192523943814</v>
      </c>
      <c r="D48" s="718">
        <f ca="1">+landbouw!C12</f>
        <v>0</v>
      </c>
      <c r="E48" s="718">
        <f>+landbouw!D12</f>
        <v>4349.3908878723769</v>
      </c>
      <c r="F48" s="718">
        <f>+landbouw!E12</f>
        <v>5.2258497027773751</v>
      </c>
      <c r="G48" s="718">
        <f>+landbouw!F12</f>
        <v>871.29585501685028</v>
      </c>
      <c r="H48" s="718">
        <f>+landbouw!G12</f>
        <v>0</v>
      </c>
      <c r="I48" s="718">
        <f>+landbouw!H12</f>
        <v>0</v>
      </c>
      <c r="J48" s="718">
        <f>+landbouw!I12</f>
        <v>0</v>
      </c>
      <c r="K48" s="718">
        <f>+landbouw!J12</f>
        <v>45.49871918426836</v>
      </c>
      <c r="L48" s="718">
        <f>+landbouw!K12</f>
        <v>0</v>
      </c>
      <c r="M48" s="718">
        <f>+landbouw!L12</f>
        <v>0</v>
      </c>
      <c r="N48" s="718">
        <f>+landbouw!M12</f>
        <v>0</v>
      </c>
      <c r="O48" s="718">
        <f>+landbouw!N12</f>
        <v>0</v>
      </c>
      <c r="P48" s="718">
        <f>+landbouw!O12</f>
        <v>0</v>
      </c>
      <c r="Q48" s="719">
        <f>+landbouw!P12</f>
        <v>0</v>
      </c>
      <c r="R48" s="761">
        <f ca="1">SUM(C48:Q48)</f>
        <v>5463.3332370157104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111420.06989568655</v>
      </c>
      <c r="D53" s="773">
        <f t="shared" ref="D53:Q53" ca="1" si="6">D41+D46+D48</f>
        <v>0</v>
      </c>
      <c r="E53" s="773">
        <f t="shared" ca="1" si="6"/>
        <v>172476.55652101673</v>
      </c>
      <c r="F53" s="773">
        <f t="shared" si="6"/>
        <v>5366.1242525252574</v>
      </c>
      <c r="G53" s="773">
        <f t="shared" ca="1" si="6"/>
        <v>25942.143849509539</v>
      </c>
      <c r="H53" s="773">
        <f t="shared" si="6"/>
        <v>146780.20166011853</v>
      </c>
      <c r="I53" s="773">
        <f t="shared" si="6"/>
        <v>26211.418957878795</v>
      </c>
      <c r="J53" s="773">
        <f t="shared" si="6"/>
        <v>0</v>
      </c>
      <c r="K53" s="773">
        <f t="shared" si="6"/>
        <v>539.57929280502901</v>
      </c>
      <c r="L53" s="773">
        <f t="shared" si="6"/>
        <v>0</v>
      </c>
      <c r="M53" s="773">
        <f t="shared" ca="1" si="6"/>
        <v>0</v>
      </c>
      <c r="N53" s="773">
        <f t="shared" si="6"/>
        <v>0</v>
      </c>
      <c r="O53" s="773">
        <f t="shared" ca="1" si="6"/>
        <v>0</v>
      </c>
      <c r="P53" s="773">
        <f>P41+P46+P48</f>
        <v>0</v>
      </c>
      <c r="Q53" s="774">
        <f t="shared" si="6"/>
        <v>0</v>
      </c>
      <c r="R53" s="775">
        <f ca="1">R41+R46+R48</f>
        <v>488736.09442954039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0.21497116704784469</v>
      </c>
      <c r="D55" s="836">
        <f t="shared" ca="1" si="7"/>
        <v>0</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181.95266272189349</v>
      </c>
      <c r="C65" s="795">
        <f>'lokale energieproductie'!B5</f>
        <v>181.95266272189349</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13957.226226721137</v>
      </c>
      <c r="C66" s="795">
        <f>'lokale energieproductie'!B6</f>
        <v>13957.226226721137</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14139.17888944303</v>
      </c>
      <c r="C69" s="803">
        <f>SUM(C64:C68)</f>
        <v>14139.17888944303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113614.30442007323</v>
      </c>
      <c r="C4" s="478">
        <f>huishoudens!C8</f>
        <v>0</v>
      </c>
      <c r="D4" s="478">
        <f>huishoudens!D8</f>
        <v>360863.20526871999</v>
      </c>
      <c r="E4" s="478">
        <f>huishoudens!E8</f>
        <v>8139.6957958483681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32058.859667381181</v>
      </c>
      <c r="O4" s="478">
        <f>huishoudens!O8</f>
        <v>558.11</v>
      </c>
      <c r="P4" s="479">
        <f>huishoudens!P8</f>
        <v>1868.5333333333333</v>
      </c>
      <c r="Q4" s="480">
        <f>SUM(B4:P4)</f>
        <v>517102.70848535607</v>
      </c>
    </row>
    <row r="5" spans="1:17">
      <c r="A5" s="477" t="s">
        <v>156</v>
      </c>
      <c r="B5" s="478">
        <f ca="1">tertiair!B16</f>
        <v>198170.74335230002</v>
      </c>
      <c r="C5" s="478">
        <f ca="1">tertiair!C16</f>
        <v>0</v>
      </c>
      <c r="D5" s="478">
        <f ca="1">tertiair!D16</f>
        <v>207690.95141830202</v>
      </c>
      <c r="E5" s="478">
        <f>tertiair!E16</f>
        <v>3351.9135870875116</v>
      </c>
      <c r="F5" s="478">
        <f ca="1">tertiair!F16</f>
        <v>50559.323344429242</v>
      </c>
      <c r="G5" s="478">
        <f>tertiair!G16</f>
        <v>0</v>
      </c>
      <c r="H5" s="478">
        <f>tertiair!H16</f>
        <v>0</v>
      </c>
      <c r="I5" s="478">
        <f>tertiair!I16</f>
        <v>0</v>
      </c>
      <c r="J5" s="478">
        <f>tertiair!J16</f>
        <v>0</v>
      </c>
      <c r="K5" s="478">
        <f>tertiair!K16</f>
        <v>0</v>
      </c>
      <c r="L5" s="478">
        <f ca="1">tertiair!L16</f>
        <v>0</v>
      </c>
      <c r="M5" s="478">
        <f>tertiair!M16</f>
        <v>0</v>
      </c>
      <c r="N5" s="478">
        <f ca="1">tertiair!N16</f>
        <v>12381.088202183031</v>
      </c>
      <c r="O5" s="478">
        <f>tertiair!O16</f>
        <v>4.6900000000000004</v>
      </c>
      <c r="P5" s="479">
        <f>tertiair!P16</f>
        <v>171.6</v>
      </c>
      <c r="Q5" s="477">
        <f t="shared" ref="Q5:Q13" ca="1" si="0">SUM(B5:P5)</f>
        <v>472330.30990430183</v>
      </c>
    </row>
    <row r="6" spans="1:17">
      <c r="A6" s="477" t="s">
        <v>194</v>
      </c>
      <c r="B6" s="478">
        <f>'openbare verlichting'!B8</f>
        <v>4214.7460000000001</v>
      </c>
      <c r="C6" s="478"/>
      <c r="D6" s="478"/>
      <c r="E6" s="478"/>
      <c r="F6" s="478"/>
      <c r="G6" s="478"/>
      <c r="H6" s="478"/>
      <c r="I6" s="478"/>
      <c r="J6" s="478"/>
      <c r="K6" s="478"/>
      <c r="L6" s="478"/>
      <c r="M6" s="478"/>
      <c r="N6" s="478"/>
      <c r="O6" s="478"/>
      <c r="P6" s="479"/>
      <c r="Q6" s="477">
        <f t="shared" si="0"/>
        <v>4214.7460000000001</v>
      </c>
    </row>
    <row r="7" spans="1:17">
      <c r="A7" s="477" t="s">
        <v>112</v>
      </c>
      <c r="B7" s="478">
        <f>landbouw!B8</f>
        <v>892.77984520000007</v>
      </c>
      <c r="C7" s="478">
        <f>landbouw!C8</f>
        <v>0</v>
      </c>
      <c r="D7" s="478">
        <f>landbouw!D8</f>
        <v>21531.638058774141</v>
      </c>
      <c r="E7" s="478">
        <f>landbouw!E8</f>
        <v>23.02136432941575</v>
      </c>
      <c r="F7" s="478">
        <f>landbouw!F8</f>
        <v>3263.2803558683531</v>
      </c>
      <c r="G7" s="478">
        <f>landbouw!G8</f>
        <v>0</v>
      </c>
      <c r="H7" s="478">
        <f>landbouw!H8</f>
        <v>0</v>
      </c>
      <c r="I7" s="478">
        <f>landbouw!I8</f>
        <v>0</v>
      </c>
      <c r="J7" s="478">
        <f>landbouw!J8</f>
        <v>128.52745532279198</v>
      </c>
      <c r="K7" s="478">
        <f>landbouw!K8</f>
        <v>0</v>
      </c>
      <c r="L7" s="478">
        <f>landbouw!L8</f>
        <v>0</v>
      </c>
      <c r="M7" s="478">
        <f>landbouw!M8</f>
        <v>0</v>
      </c>
      <c r="N7" s="478">
        <f>landbouw!N8</f>
        <v>0</v>
      </c>
      <c r="O7" s="478">
        <f>landbouw!O8</f>
        <v>0</v>
      </c>
      <c r="P7" s="479">
        <f>landbouw!P8</f>
        <v>0</v>
      </c>
      <c r="Q7" s="477">
        <f t="shared" si="0"/>
        <v>25839.2470794947</v>
      </c>
    </row>
    <row r="8" spans="1:17">
      <c r="A8" s="477" t="s">
        <v>638</v>
      </c>
      <c r="B8" s="478">
        <f>industrie!B18</f>
        <v>201234.89244207402</v>
      </c>
      <c r="C8" s="478">
        <f>industrie!C18</f>
        <v>0</v>
      </c>
      <c r="D8" s="478">
        <f>industrie!D18</f>
        <v>263375.4083137078</v>
      </c>
      <c r="E8" s="478">
        <f>industrie!E18</f>
        <v>10464.428161813235</v>
      </c>
      <c r="F8" s="478">
        <f>industrie!F18</f>
        <v>43338.983751048989</v>
      </c>
      <c r="G8" s="478">
        <f>industrie!G18</f>
        <v>0</v>
      </c>
      <c r="H8" s="478">
        <f>industrie!H18</f>
        <v>0</v>
      </c>
      <c r="I8" s="478">
        <f>industrie!I18</f>
        <v>0</v>
      </c>
      <c r="J8" s="478">
        <f>industrie!J18</f>
        <v>1395.7078350868946</v>
      </c>
      <c r="K8" s="478">
        <f>industrie!K18</f>
        <v>0</v>
      </c>
      <c r="L8" s="478">
        <f>industrie!L18</f>
        <v>0</v>
      </c>
      <c r="M8" s="478">
        <f>industrie!M18</f>
        <v>0</v>
      </c>
      <c r="N8" s="478">
        <f>industrie!N18</f>
        <v>40887.792826944104</v>
      </c>
      <c r="O8" s="478">
        <f>industrie!O18</f>
        <v>0</v>
      </c>
      <c r="P8" s="479">
        <f>industrie!P18</f>
        <v>0</v>
      </c>
      <c r="Q8" s="477">
        <f t="shared" si="0"/>
        <v>560697.21333067503</v>
      </c>
    </row>
    <row r="9" spans="1:17" s="483" customFormat="1">
      <c r="A9" s="481" t="s">
        <v>564</v>
      </c>
      <c r="B9" s="482">
        <f>transport!B14</f>
        <v>174.92502747246303</v>
      </c>
      <c r="C9" s="482"/>
      <c r="D9" s="482">
        <f>transport!D14</f>
        <v>383.13615345006491</v>
      </c>
      <c r="E9" s="482">
        <f>transport!E14</f>
        <v>1660.254978697933</v>
      </c>
      <c r="F9" s="482"/>
      <c r="G9" s="482">
        <f>transport!G14</f>
        <v>538907.79421159124</v>
      </c>
      <c r="H9" s="482">
        <f>transport!H14</f>
        <v>105266.74280272609</v>
      </c>
      <c r="I9" s="482"/>
      <c r="J9" s="482"/>
      <c r="K9" s="482"/>
      <c r="L9" s="482"/>
      <c r="M9" s="482">
        <f>transport!M14</f>
        <v>20132.227676397451</v>
      </c>
      <c r="N9" s="482"/>
      <c r="O9" s="482"/>
      <c r="P9" s="482"/>
      <c r="Q9" s="481">
        <f>SUM(B9:P9)</f>
        <v>666525.08085033519</v>
      </c>
    </row>
    <row r="10" spans="1:17">
      <c r="A10" s="477" t="s">
        <v>554</v>
      </c>
      <c r="B10" s="478">
        <f>transport!B54</f>
        <v>0</v>
      </c>
      <c r="C10" s="478"/>
      <c r="D10" s="478">
        <f>transport!D54</f>
        <v>0</v>
      </c>
      <c r="E10" s="478"/>
      <c r="F10" s="478"/>
      <c r="G10" s="478">
        <f>transport!G54</f>
        <v>10830.788785107357</v>
      </c>
      <c r="H10" s="478"/>
      <c r="I10" s="478"/>
      <c r="J10" s="478"/>
      <c r="K10" s="478"/>
      <c r="L10" s="478"/>
      <c r="M10" s="478">
        <f>transport!M54</f>
        <v>335.94683766735983</v>
      </c>
      <c r="N10" s="478"/>
      <c r="O10" s="478"/>
      <c r="P10" s="479"/>
      <c r="Q10" s="477">
        <f t="shared" si="0"/>
        <v>11166.735622774717</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518302.39108711976</v>
      </c>
      <c r="C14" s="488">
        <f t="shared" ref="C14:Q14" ca="1" si="1">SUM(C4:C13)</f>
        <v>0</v>
      </c>
      <c r="D14" s="488">
        <f t="shared" ca="1" si="1"/>
        <v>853844.33921295404</v>
      </c>
      <c r="E14" s="488">
        <f t="shared" si="1"/>
        <v>23639.313887776461</v>
      </c>
      <c r="F14" s="488">
        <f t="shared" ca="1" si="1"/>
        <v>97161.587451346582</v>
      </c>
      <c r="G14" s="488">
        <f t="shared" si="1"/>
        <v>549738.58299669856</v>
      </c>
      <c r="H14" s="488">
        <f t="shared" si="1"/>
        <v>105266.74280272609</v>
      </c>
      <c r="I14" s="488">
        <f t="shared" si="1"/>
        <v>0</v>
      </c>
      <c r="J14" s="488">
        <f t="shared" si="1"/>
        <v>1524.2352904096865</v>
      </c>
      <c r="K14" s="488">
        <f t="shared" si="1"/>
        <v>0</v>
      </c>
      <c r="L14" s="488">
        <f t="shared" ca="1" si="1"/>
        <v>0</v>
      </c>
      <c r="M14" s="488">
        <f t="shared" si="1"/>
        <v>20468.174514064813</v>
      </c>
      <c r="N14" s="488">
        <f t="shared" ca="1" si="1"/>
        <v>85327.740696508321</v>
      </c>
      <c r="O14" s="488">
        <f t="shared" si="1"/>
        <v>562.80000000000007</v>
      </c>
      <c r="P14" s="489">
        <f t="shared" si="1"/>
        <v>2040.1333333333332</v>
      </c>
      <c r="Q14" s="489">
        <f t="shared" ca="1" si="1"/>
        <v>2257876.0412729378</v>
      </c>
    </row>
    <row r="16" spans="1:17">
      <c r="A16" s="491" t="s">
        <v>559</v>
      </c>
      <c r="B16" s="841">
        <f ca="1">huishoudens!B10</f>
        <v>0.21497116704784469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24423.799614512242</v>
      </c>
      <c r="C21" s="478">
        <f t="shared" ref="C21:C28" ca="1" si="3">C4*$C$16</f>
        <v>0</v>
      </c>
      <c r="D21" s="478">
        <f t="shared" ref="D21:D30" si="4">D4*$D$16</f>
        <v>72894.367464281444</v>
      </c>
      <c r="E21" s="478">
        <f t="shared" ref="E21:E30" si="5">E4*$E$16</f>
        <v>1847.7109456575797</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99165.878024451275</v>
      </c>
    </row>
    <row r="22" spans="1:17">
      <c r="A22" s="477" t="s">
        <v>156</v>
      </c>
      <c r="B22" s="478">
        <f t="shared" ca="1" si="2"/>
        <v>42600.995973182849</v>
      </c>
      <c r="C22" s="478">
        <f t="shared" ca="1" si="3"/>
        <v>0</v>
      </c>
      <c r="D22" s="478">
        <f t="shared" ca="1" si="4"/>
        <v>41953.572186497011</v>
      </c>
      <c r="E22" s="478">
        <f t="shared" si="5"/>
        <v>760.88438426886512</v>
      </c>
      <c r="F22" s="478">
        <f t="shared" ca="1" si="6"/>
        <v>13499.339332962609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98814.791876911331</v>
      </c>
    </row>
    <row r="23" spans="1:17">
      <c r="A23" s="477" t="s">
        <v>194</v>
      </c>
      <c r="B23" s="478">
        <f t="shared" ca="1" si="2"/>
        <v>906.04886643023519</v>
      </c>
      <c r="C23" s="478"/>
      <c r="D23" s="478"/>
      <c r="E23" s="478"/>
      <c r="F23" s="478"/>
      <c r="G23" s="478"/>
      <c r="H23" s="478"/>
      <c r="I23" s="478"/>
      <c r="J23" s="478"/>
      <c r="K23" s="478"/>
      <c r="L23" s="478"/>
      <c r="M23" s="478"/>
      <c r="N23" s="478"/>
      <c r="O23" s="478"/>
      <c r="P23" s="479"/>
      <c r="Q23" s="477">
        <f t="shared" ca="1" si="17"/>
        <v>906.04886643023519</v>
      </c>
    </row>
    <row r="24" spans="1:17">
      <c r="A24" s="477" t="s">
        <v>112</v>
      </c>
      <c r="B24" s="478">
        <f t="shared" ca="1" si="2"/>
        <v>191.92192523943814</v>
      </c>
      <c r="C24" s="478">
        <f t="shared" ca="1" si="3"/>
        <v>0</v>
      </c>
      <c r="D24" s="478">
        <f t="shared" si="4"/>
        <v>4349.3908878723769</v>
      </c>
      <c r="E24" s="478">
        <f t="shared" si="5"/>
        <v>5.2258497027773751</v>
      </c>
      <c r="F24" s="478">
        <f t="shared" si="6"/>
        <v>871.29585501685028</v>
      </c>
      <c r="G24" s="478">
        <f t="shared" si="7"/>
        <v>0</v>
      </c>
      <c r="H24" s="478">
        <f t="shared" si="8"/>
        <v>0</v>
      </c>
      <c r="I24" s="478">
        <f t="shared" si="9"/>
        <v>0</v>
      </c>
      <c r="J24" s="478">
        <f t="shared" si="10"/>
        <v>45.49871918426836</v>
      </c>
      <c r="K24" s="478">
        <f t="shared" si="11"/>
        <v>0</v>
      </c>
      <c r="L24" s="478">
        <f t="shared" si="12"/>
        <v>0</v>
      </c>
      <c r="M24" s="478">
        <f t="shared" si="13"/>
        <v>0</v>
      </c>
      <c r="N24" s="478">
        <f t="shared" si="14"/>
        <v>0</v>
      </c>
      <c r="O24" s="478">
        <f t="shared" si="15"/>
        <v>0</v>
      </c>
      <c r="P24" s="479">
        <f t="shared" si="16"/>
        <v>0</v>
      </c>
      <c r="Q24" s="477">
        <f t="shared" ca="1" si="17"/>
        <v>5463.3332370157104</v>
      </c>
    </row>
    <row r="25" spans="1:17">
      <c r="A25" s="477" t="s">
        <v>638</v>
      </c>
      <c r="B25" s="478">
        <f t="shared" ca="1" si="2"/>
        <v>43259.699679020152</v>
      </c>
      <c r="C25" s="478">
        <f t="shared" ca="1" si="3"/>
        <v>0</v>
      </c>
      <c r="D25" s="478">
        <f t="shared" si="4"/>
        <v>53201.832479368975</v>
      </c>
      <c r="E25" s="478">
        <f t="shared" si="5"/>
        <v>2375.4251927316045</v>
      </c>
      <c r="F25" s="478">
        <f t="shared" si="6"/>
        <v>11571.508661530081</v>
      </c>
      <c r="G25" s="478">
        <f t="shared" si="7"/>
        <v>0</v>
      </c>
      <c r="H25" s="478">
        <f t="shared" si="8"/>
        <v>0</v>
      </c>
      <c r="I25" s="478">
        <f t="shared" si="9"/>
        <v>0</v>
      </c>
      <c r="J25" s="478">
        <f t="shared" si="10"/>
        <v>494.08057362076067</v>
      </c>
      <c r="K25" s="478">
        <f t="shared" si="11"/>
        <v>0</v>
      </c>
      <c r="L25" s="478">
        <f t="shared" si="12"/>
        <v>0</v>
      </c>
      <c r="M25" s="478">
        <f t="shared" si="13"/>
        <v>0</v>
      </c>
      <c r="N25" s="478">
        <f t="shared" si="14"/>
        <v>0</v>
      </c>
      <c r="O25" s="478">
        <f t="shared" si="15"/>
        <v>0</v>
      </c>
      <c r="P25" s="479">
        <f t="shared" si="16"/>
        <v>0</v>
      </c>
      <c r="Q25" s="477">
        <f t="shared" ca="1" si="17"/>
        <v>110902.54658627158</v>
      </c>
    </row>
    <row r="26" spans="1:17" s="483" customFormat="1">
      <c r="A26" s="481" t="s">
        <v>564</v>
      </c>
      <c r="B26" s="835">
        <f t="shared" ca="1" si="2"/>
        <v>37.603837301631671</v>
      </c>
      <c r="C26" s="482"/>
      <c r="D26" s="482">
        <f t="shared" si="4"/>
        <v>77.393502996913114</v>
      </c>
      <c r="E26" s="482">
        <f t="shared" si="5"/>
        <v>376.87788016443079</v>
      </c>
      <c r="F26" s="482"/>
      <c r="G26" s="482">
        <f t="shared" si="7"/>
        <v>143888.38105449488</v>
      </c>
      <c r="H26" s="482">
        <f t="shared" si="8"/>
        <v>26211.418957878795</v>
      </c>
      <c r="I26" s="482"/>
      <c r="J26" s="482"/>
      <c r="K26" s="482"/>
      <c r="L26" s="482"/>
      <c r="M26" s="482">
        <f t="shared" si="13"/>
        <v>0</v>
      </c>
      <c r="N26" s="482"/>
      <c r="O26" s="482"/>
      <c r="P26" s="493"/>
      <c r="Q26" s="481">
        <f t="shared" ca="1" si="17"/>
        <v>170591.67523283666</v>
      </c>
    </row>
    <row r="27" spans="1:17">
      <c r="A27" s="477" t="s">
        <v>554</v>
      </c>
      <c r="B27" s="478">
        <f t="shared" ca="1" si="2"/>
        <v>0</v>
      </c>
      <c r="C27" s="478"/>
      <c r="D27" s="482">
        <f t="shared" si="4"/>
        <v>0</v>
      </c>
      <c r="E27" s="478"/>
      <c r="F27" s="478"/>
      <c r="G27" s="478">
        <f t="shared" si="7"/>
        <v>2891.8206056236645</v>
      </c>
      <c r="H27" s="478"/>
      <c r="I27" s="478"/>
      <c r="J27" s="478"/>
      <c r="K27" s="478"/>
      <c r="L27" s="478"/>
      <c r="M27" s="478">
        <f t="shared" si="13"/>
        <v>0</v>
      </c>
      <c r="N27" s="478"/>
      <c r="O27" s="478"/>
      <c r="P27" s="479"/>
      <c r="Q27" s="477">
        <f t="shared" ca="1" si="17"/>
        <v>2891.8206056236645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111420.06989568655</v>
      </c>
      <c r="C31" s="488">
        <f t="shared" ca="1" si="18"/>
        <v>0</v>
      </c>
      <c r="D31" s="488">
        <f t="shared" ca="1" si="18"/>
        <v>172476.55652101673</v>
      </c>
      <c r="E31" s="488">
        <f t="shared" si="18"/>
        <v>5366.1242525252583</v>
      </c>
      <c r="F31" s="488">
        <f t="shared" ca="1" si="18"/>
        <v>25942.143849509539</v>
      </c>
      <c r="G31" s="488">
        <f t="shared" si="18"/>
        <v>146780.20166011853</v>
      </c>
      <c r="H31" s="488">
        <f t="shared" si="18"/>
        <v>26211.418957878795</v>
      </c>
      <c r="I31" s="488">
        <f t="shared" si="18"/>
        <v>0</v>
      </c>
      <c r="J31" s="488">
        <f t="shared" si="18"/>
        <v>539.57929280502901</v>
      </c>
      <c r="K31" s="488">
        <f t="shared" si="18"/>
        <v>0</v>
      </c>
      <c r="L31" s="488">
        <f t="shared" ca="1" si="18"/>
        <v>0</v>
      </c>
      <c r="M31" s="488">
        <f t="shared" si="18"/>
        <v>0</v>
      </c>
      <c r="N31" s="488">
        <f t="shared" ca="1" si="18"/>
        <v>0</v>
      </c>
      <c r="O31" s="488">
        <f t="shared" si="18"/>
        <v>0</v>
      </c>
      <c r="P31" s="489">
        <f t="shared" si="18"/>
        <v>0</v>
      </c>
      <c r="Q31" s="489">
        <f t="shared" ca="1" si="18"/>
        <v>488736.09442954045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0.21497116704784469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0.21497116704784469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0.21497116704784469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12025</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35490</v>
      </c>
      <c r="C9" s="342">
        <v>37570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1927.89</v>
      </c>
    </row>
    <row r="15" spans="1:6">
      <c r="A15" s="348" t="s">
        <v>184</v>
      </c>
      <c r="B15" s="334">
        <v>3</v>
      </c>
    </row>
    <row r="16" spans="1:6">
      <c r="A16" s="348" t="s">
        <v>6</v>
      </c>
      <c r="B16" s="334">
        <v>262</v>
      </c>
    </row>
    <row r="17" spans="1:6">
      <c r="A17" s="348" t="s">
        <v>7</v>
      </c>
      <c r="B17" s="334">
        <v>298</v>
      </c>
    </row>
    <row r="18" spans="1:6">
      <c r="A18" s="348" t="s">
        <v>8</v>
      </c>
      <c r="B18" s="334">
        <v>464</v>
      </c>
    </row>
    <row r="19" spans="1:6">
      <c r="A19" s="348" t="s">
        <v>9</v>
      </c>
      <c r="B19" s="334">
        <v>424</v>
      </c>
    </row>
    <row r="20" spans="1:6">
      <c r="A20" s="348" t="s">
        <v>10</v>
      </c>
      <c r="B20" s="334">
        <v>485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294</v>
      </c>
    </row>
    <row r="27" spans="1:6">
      <c r="A27" s="348" t="s">
        <v>17</v>
      </c>
      <c r="B27" s="334">
        <v>4</v>
      </c>
    </row>
    <row r="28" spans="1:6" s="356" customFormat="1">
      <c r="A28" s="355" t="s">
        <v>18</v>
      </c>
      <c r="B28" s="355">
        <v>5</v>
      </c>
    </row>
    <row r="29" spans="1:6">
      <c r="A29" s="355" t="s">
        <v>849</v>
      </c>
      <c r="B29" s="355">
        <v>362</v>
      </c>
      <c r="C29" s="356"/>
      <c r="D29" s="356"/>
      <c r="E29" s="356"/>
      <c r="F29" s="356"/>
    </row>
    <row r="30" spans="1:6">
      <c r="A30" s="355" t="s">
        <v>850</v>
      </c>
      <c r="B30" s="341">
        <v>89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14</v>
      </c>
      <c r="D36" s="334">
        <v>4932815.9000000004</v>
      </c>
      <c r="E36" s="334">
        <v>14</v>
      </c>
      <c r="F36" s="334">
        <v>2826276.8552000001</v>
      </c>
    </row>
    <row r="37" spans="1:6">
      <c r="A37" s="348" t="s">
        <v>25</v>
      </c>
      <c r="B37" s="348" t="s">
        <v>28</v>
      </c>
      <c r="C37" s="334">
        <v>0</v>
      </c>
      <c r="D37" s="334">
        <v>0</v>
      </c>
      <c r="E37" s="334">
        <v>0</v>
      </c>
      <c r="F37" s="334">
        <v>0</v>
      </c>
    </row>
    <row r="38" spans="1:6">
      <c r="A38" s="348" t="s">
        <v>25</v>
      </c>
      <c r="B38" s="348" t="s">
        <v>29</v>
      </c>
      <c r="C38" s="334">
        <v>1</v>
      </c>
      <c r="D38" s="334">
        <v>5798.3404622999997</v>
      </c>
      <c r="E38" s="334">
        <v>3</v>
      </c>
      <c r="F38" s="334">
        <v>17180.970443999999</v>
      </c>
    </row>
    <row r="39" spans="1:6">
      <c r="A39" s="348" t="s">
        <v>30</v>
      </c>
      <c r="B39" s="348" t="s">
        <v>31</v>
      </c>
      <c r="C39" s="334">
        <v>29179</v>
      </c>
      <c r="D39" s="334">
        <v>400070072.36000001</v>
      </c>
      <c r="E39" s="334">
        <v>36007</v>
      </c>
      <c r="F39" s="334">
        <v>106665837.39</v>
      </c>
    </row>
    <row r="40" spans="1:6">
      <c r="A40" s="348" t="s">
        <v>30</v>
      </c>
      <c r="B40" s="348" t="s">
        <v>29</v>
      </c>
      <c r="C40" s="334">
        <v>0</v>
      </c>
      <c r="D40" s="334">
        <v>0</v>
      </c>
      <c r="E40" s="334">
        <v>0</v>
      </c>
      <c r="F40" s="334">
        <v>0</v>
      </c>
    </row>
    <row r="41" spans="1:6">
      <c r="A41" s="348" t="s">
        <v>32</v>
      </c>
      <c r="B41" s="348" t="s">
        <v>33</v>
      </c>
      <c r="C41" s="334">
        <v>211</v>
      </c>
      <c r="D41" s="334">
        <v>9902050.3423999995</v>
      </c>
      <c r="E41" s="334">
        <v>427</v>
      </c>
      <c r="F41" s="334">
        <v>10506270.025</v>
      </c>
    </row>
    <row r="42" spans="1:6">
      <c r="A42" s="348" t="s">
        <v>32</v>
      </c>
      <c r="B42" s="348" t="s">
        <v>34</v>
      </c>
      <c r="C42" s="334">
        <v>3</v>
      </c>
      <c r="D42" s="334">
        <v>37611981.362999998</v>
      </c>
      <c r="E42" s="334">
        <v>4</v>
      </c>
      <c r="F42" s="334">
        <v>40265665.252999999</v>
      </c>
    </row>
    <row r="43" spans="1:6">
      <c r="A43" s="348" t="s">
        <v>32</v>
      </c>
      <c r="B43" s="348" t="s">
        <v>35</v>
      </c>
      <c r="C43" s="334">
        <v>0</v>
      </c>
      <c r="D43" s="334">
        <v>0</v>
      </c>
      <c r="E43" s="334">
        <v>0</v>
      </c>
      <c r="F43" s="334">
        <v>0</v>
      </c>
    </row>
    <row r="44" spans="1:6">
      <c r="A44" s="348" t="s">
        <v>32</v>
      </c>
      <c r="B44" s="348" t="s">
        <v>36</v>
      </c>
      <c r="C44" s="334">
        <v>13</v>
      </c>
      <c r="D44" s="334">
        <v>11497980.6</v>
      </c>
      <c r="E44" s="334">
        <v>58</v>
      </c>
      <c r="F44" s="334">
        <v>9430607.1917000003</v>
      </c>
    </row>
    <row r="45" spans="1:6">
      <c r="A45" s="348" t="s">
        <v>32</v>
      </c>
      <c r="B45" s="348" t="s">
        <v>37</v>
      </c>
      <c r="C45" s="334">
        <v>0</v>
      </c>
      <c r="D45" s="334">
        <v>0</v>
      </c>
      <c r="E45" s="334">
        <v>8</v>
      </c>
      <c r="F45" s="334">
        <v>108705.24033</v>
      </c>
    </row>
    <row r="46" spans="1:6">
      <c r="A46" s="348" t="s">
        <v>32</v>
      </c>
      <c r="B46" s="348" t="s">
        <v>38</v>
      </c>
      <c r="C46" s="334">
        <v>0</v>
      </c>
      <c r="D46" s="334">
        <v>0</v>
      </c>
      <c r="E46" s="334">
        <v>0</v>
      </c>
      <c r="F46" s="334">
        <v>0</v>
      </c>
    </row>
    <row r="47" spans="1:6">
      <c r="A47" s="348" t="s">
        <v>32</v>
      </c>
      <c r="B47" s="348" t="s">
        <v>39</v>
      </c>
      <c r="C47" s="334">
        <v>16</v>
      </c>
      <c r="D47" s="334">
        <v>5489448.3569</v>
      </c>
      <c r="E47" s="334">
        <v>24</v>
      </c>
      <c r="F47" s="334">
        <v>4638070.1771999998</v>
      </c>
    </row>
    <row r="48" spans="1:6">
      <c r="A48" s="348" t="s">
        <v>32</v>
      </c>
      <c r="B48" s="348" t="s">
        <v>29</v>
      </c>
      <c r="C48" s="334">
        <v>100</v>
      </c>
      <c r="D48" s="334">
        <v>224951839.69</v>
      </c>
      <c r="E48" s="334">
        <v>104</v>
      </c>
      <c r="F48" s="334">
        <v>133843882.81</v>
      </c>
    </row>
    <row r="49" spans="1:6">
      <c r="A49" s="348" t="s">
        <v>32</v>
      </c>
      <c r="B49" s="348" t="s">
        <v>40</v>
      </c>
      <c r="C49" s="334">
        <v>0</v>
      </c>
      <c r="D49" s="334">
        <v>0</v>
      </c>
      <c r="E49" s="334">
        <v>4</v>
      </c>
      <c r="F49" s="334">
        <v>34096.145444000002</v>
      </c>
    </row>
    <row r="50" spans="1:6">
      <c r="A50" s="348" t="s">
        <v>32</v>
      </c>
      <c r="B50" s="348" t="s">
        <v>41</v>
      </c>
      <c r="C50" s="334">
        <v>35</v>
      </c>
      <c r="D50" s="334">
        <v>2537174.4966000002</v>
      </c>
      <c r="E50" s="334">
        <v>72</v>
      </c>
      <c r="F50" s="334">
        <v>2407595.5994000002</v>
      </c>
    </row>
    <row r="51" spans="1:6">
      <c r="A51" s="348" t="s">
        <v>42</v>
      </c>
      <c r="B51" s="348" t="s">
        <v>43</v>
      </c>
      <c r="C51" s="334">
        <v>13</v>
      </c>
      <c r="D51" s="334">
        <v>266723.82812000002</v>
      </c>
      <c r="E51" s="334">
        <v>77</v>
      </c>
      <c r="F51" s="334">
        <v>664574.84296000004</v>
      </c>
    </row>
    <row r="52" spans="1:6">
      <c r="A52" s="348" t="s">
        <v>42</v>
      </c>
      <c r="B52" s="348" t="s">
        <v>29</v>
      </c>
      <c r="C52" s="334">
        <v>10</v>
      </c>
      <c r="D52" s="334">
        <v>995701.56744999997</v>
      </c>
      <c r="E52" s="334">
        <v>21</v>
      </c>
      <c r="F52" s="334">
        <v>228205.00224</v>
      </c>
    </row>
    <row r="53" spans="1:6">
      <c r="A53" s="348" t="s">
        <v>44</v>
      </c>
      <c r="B53" s="348" t="s">
        <v>45</v>
      </c>
      <c r="C53" s="334">
        <v>837</v>
      </c>
      <c r="D53" s="334">
        <v>22608570.234999999</v>
      </c>
      <c r="E53" s="334">
        <v>1503</v>
      </c>
      <c r="F53" s="334">
        <v>4977046.8125</v>
      </c>
    </row>
    <row r="54" spans="1:6">
      <c r="A54" s="348" t="s">
        <v>46</v>
      </c>
      <c r="B54" s="348" t="s">
        <v>47</v>
      </c>
      <c r="C54" s="334">
        <v>0</v>
      </c>
      <c r="D54" s="334">
        <v>0</v>
      </c>
      <c r="E54" s="334">
        <v>1</v>
      </c>
      <c r="F54" s="334">
        <v>4214746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347</v>
      </c>
      <c r="D57" s="334">
        <v>31571204.295000002</v>
      </c>
      <c r="E57" s="334">
        <v>423</v>
      </c>
      <c r="F57" s="334">
        <v>14453070.195</v>
      </c>
    </row>
    <row r="58" spans="1:6">
      <c r="A58" s="348" t="s">
        <v>49</v>
      </c>
      <c r="B58" s="348" t="s">
        <v>51</v>
      </c>
      <c r="C58" s="334">
        <v>237</v>
      </c>
      <c r="D58" s="334">
        <v>22110113.285</v>
      </c>
      <c r="E58" s="334">
        <v>369</v>
      </c>
      <c r="F58" s="334">
        <v>10086725.072000001</v>
      </c>
    </row>
    <row r="59" spans="1:6">
      <c r="A59" s="348" t="s">
        <v>49</v>
      </c>
      <c r="B59" s="348" t="s">
        <v>52</v>
      </c>
      <c r="C59" s="334">
        <v>682</v>
      </c>
      <c r="D59" s="334">
        <v>35884441.794</v>
      </c>
      <c r="E59" s="334">
        <v>1080</v>
      </c>
      <c r="F59" s="334">
        <v>44252582.818000004</v>
      </c>
    </row>
    <row r="60" spans="1:6">
      <c r="A60" s="348" t="s">
        <v>49</v>
      </c>
      <c r="B60" s="348" t="s">
        <v>53</v>
      </c>
      <c r="C60" s="334">
        <v>355</v>
      </c>
      <c r="D60" s="334">
        <v>22417116.949000001</v>
      </c>
      <c r="E60" s="334">
        <v>425</v>
      </c>
      <c r="F60" s="334">
        <v>13466886.878</v>
      </c>
    </row>
    <row r="61" spans="1:6">
      <c r="A61" s="348" t="s">
        <v>49</v>
      </c>
      <c r="B61" s="348" t="s">
        <v>54</v>
      </c>
      <c r="C61" s="334">
        <v>1237</v>
      </c>
      <c r="D61" s="334">
        <v>87822304.545000002</v>
      </c>
      <c r="E61" s="334">
        <v>2655</v>
      </c>
      <c r="F61" s="334">
        <v>102036079.59999999</v>
      </c>
    </row>
    <row r="62" spans="1:6">
      <c r="A62" s="348" t="s">
        <v>49</v>
      </c>
      <c r="B62" s="348" t="s">
        <v>55</v>
      </c>
      <c r="C62" s="334">
        <v>72</v>
      </c>
      <c r="D62" s="334">
        <v>12782882.783</v>
      </c>
      <c r="E62" s="334">
        <v>108</v>
      </c>
      <c r="F62" s="334">
        <v>5903175.3315000003</v>
      </c>
    </row>
    <row r="63" spans="1:6">
      <c r="A63" s="348" t="s">
        <v>49</v>
      </c>
      <c r="B63" s="348" t="s">
        <v>29</v>
      </c>
      <c r="C63" s="334">
        <v>246</v>
      </c>
      <c r="D63" s="334">
        <v>17667980.050000001</v>
      </c>
      <c r="E63" s="334">
        <v>266</v>
      </c>
      <c r="F63" s="334">
        <v>7972223.4578</v>
      </c>
    </row>
    <row r="64" spans="1:6">
      <c r="A64" s="348" t="s">
        <v>56</v>
      </c>
      <c r="B64" s="348" t="s">
        <v>57</v>
      </c>
      <c r="C64" s="334">
        <v>0</v>
      </c>
      <c r="D64" s="334">
        <v>0</v>
      </c>
      <c r="E64" s="334">
        <v>0</v>
      </c>
      <c r="F64" s="334">
        <v>0</v>
      </c>
    </row>
    <row r="65" spans="1:6">
      <c r="A65" s="348" t="s">
        <v>56</v>
      </c>
      <c r="B65" s="348" t="s">
        <v>29</v>
      </c>
      <c r="C65" s="334">
        <v>5</v>
      </c>
      <c r="D65" s="334">
        <v>1658609.7581</v>
      </c>
      <c r="E65" s="334">
        <v>5</v>
      </c>
      <c r="F65" s="334">
        <v>38693.677280999997</v>
      </c>
    </row>
    <row r="66" spans="1:6">
      <c r="A66" s="348" t="s">
        <v>56</v>
      </c>
      <c r="B66" s="348" t="s">
        <v>58</v>
      </c>
      <c r="C66" s="334">
        <v>3</v>
      </c>
      <c r="D66" s="334">
        <v>282722.29161999997</v>
      </c>
      <c r="E66" s="334">
        <v>55</v>
      </c>
      <c r="F66" s="334">
        <v>2845692.8725000001</v>
      </c>
    </row>
    <row r="67" spans="1:6">
      <c r="A67" s="355" t="s">
        <v>56</v>
      </c>
      <c r="B67" s="355" t="s">
        <v>59</v>
      </c>
      <c r="C67" s="334">
        <v>0</v>
      </c>
      <c r="D67" s="334">
        <v>0</v>
      </c>
      <c r="E67" s="334">
        <v>0</v>
      </c>
      <c r="F67" s="334">
        <v>0</v>
      </c>
    </row>
    <row r="68" spans="1:6">
      <c r="A68" s="341" t="s">
        <v>56</v>
      </c>
      <c r="B68" s="341" t="s">
        <v>60</v>
      </c>
      <c r="C68" s="334">
        <v>22</v>
      </c>
      <c r="D68" s="334">
        <v>725452.74435000005</v>
      </c>
      <c r="E68" s="334">
        <v>43</v>
      </c>
      <c r="F68" s="334">
        <v>3154328.6205000002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306599470</v>
      </c>
      <c r="E73" s="476">
        <v>315411944.11278754</v>
      </c>
    </row>
    <row r="74" spans="1:6">
      <c r="A74" s="348" t="s">
        <v>64</v>
      </c>
      <c r="B74" s="348" t="s">
        <v>667</v>
      </c>
      <c r="C74" s="1271" t="s">
        <v>669</v>
      </c>
      <c r="D74" s="476">
        <v>18812998.52440564</v>
      </c>
      <c r="E74" s="476">
        <v>18874600.839993291</v>
      </c>
    </row>
    <row r="75" spans="1:6">
      <c r="A75" s="348" t="s">
        <v>65</v>
      </c>
      <c r="B75" s="348" t="s">
        <v>666</v>
      </c>
      <c r="C75" s="1271" t="s">
        <v>670</v>
      </c>
      <c r="D75" s="476">
        <v>77036968</v>
      </c>
      <c r="E75" s="476">
        <v>78850456.318948179</v>
      </c>
    </row>
    <row r="76" spans="1:6">
      <c r="A76" s="348" t="s">
        <v>65</v>
      </c>
      <c r="B76" s="348" t="s">
        <v>667</v>
      </c>
      <c r="C76" s="1271" t="s">
        <v>671</v>
      </c>
      <c r="D76" s="476">
        <v>2252459.5244056396</v>
      </c>
      <c r="E76" s="476">
        <v>2287702.6279130764</v>
      </c>
    </row>
    <row r="77" spans="1:6">
      <c r="A77" s="348" t="s">
        <v>66</v>
      </c>
      <c r="B77" s="348" t="s">
        <v>666</v>
      </c>
      <c r="C77" s="1271" t="s">
        <v>672</v>
      </c>
      <c r="D77" s="476">
        <v>362836971</v>
      </c>
      <c r="E77" s="476">
        <v>378373977.23973745</v>
      </c>
    </row>
    <row r="78" spans="1:6">
      <c r="A78" s="341" t="s">
        <v>66</v>
      </c>
      <c r="B78" s="341" t="s">
        <v>667</v>
      </c>
      <c r="C78" s="341" t="s">
        <v>673</v>
      </c>
      <c r="D78" s="1272">
        <v>43876034</v>
      </c>
      <c r="E78" s="1272">
        <v>43450324.54790286</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2999232.9511887203</v>
      </c>
      <c r="C83" s="476">
        <v>2999232.9511887203</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181.95266272189349</v>
      </c>
    </row>
    <row r="90" spans="1:6">
      <c r="A90" s="348" t="s">
        <v>552</v>
      </c>
      <c r="B90" s="1273">
        <v>0</v>
      </c>
    </row>
    <row r="91" spans="1:6">
      <c r="A91" s="348" t="s">
        <v>68</v>
      </c>
      <c r="B91" s="334">
        <v>6948.4670300732305</v>
      </c>
    </row>
    <row r="92" spans="1:6">
      <c r="A92" s="341" t="s">
        <v>69</v>
      </c>
      <c r="B92" s="342">
        <v>7008.7591966479058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22345</v>
      </c>
    </row>
    <row r="98" spans="1:6">
      <c r="A98" s="348" t="s">
        <v>72</v>
      </c>
      <c r="B98" s="334">
        <v>44</v>
      </c>
    </row>
    <row r="99" spans="1:6">
      <c r="A99" s="348" t="s">
        <v>73</v>
      </c>
      <c r="B99" s="334">
        <v>106</v>
      </c>
    </row>
    <row r="100" spans="1:6">
      <c r="A100" s="348" t="s">
        <v>74</v>
      </c>
      <c r="B100" s="334">
        <v>1577</v>
      </c>
    </row>
    <row r="101" spans="1:6">
      <c r="A101" s="348" t="s">
        <v>75</v>
      </c>
      <c r="B101" s="334">
        <v>147</v>
      </c>
    </row>
    <row r="102" spans="1:6">
      <c r="A102" s="348" t="s">
        <v>76</v>
      </c>
      <c r="B102" s="334">
        <v>648</v>
      </c>
    </row>
    <row r="103" spans="1:6">
      <c r="A103" s="348" t="s">
        <v>77</v>
      </c>
      <c r="B103" s="334">
        <v>662</v>
      </c>
    </row>
    <row r="104" spans="1:6">
      <c r="A104" s="348" t="s">
        <v>78</v>
      </c>
      <c r="B104" s="334">
        <v>5761</v>
      </c>
    </row>
    <row r="105" spans="1:6">
      <c r="A105" s="341" t="s">
        <v>79</v>
      </c>
      <c r="B105" s="341">
        <v>35</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61</v>
      </c>
      <c r="C123" s="334">
        <v>91</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266</v>
      </c>
    </row>
    <row r="130" spans="1:6">
      <c r="A130" s="348" t="s">
        <v>295</v>
      </c>
      <c r="B130" s="334">
        <v>3</v>
      </c>
    </row>
    <row r="131" spans="1:6">
      <c r="A131" s="348" t="s">
        <v>296</v>
      </c>
      <c r="B131" s="334">
        <v>8</v>
      </c>
    </row>
    <row r="132" spans="1:6">
      <c r="A132" s="341" t="s">
        <v>297</v>
      </c>
      <c r="B132" s="342">
        <v>34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518302.39108711976</v>
      </c>
      <c r="C3" s="43" t="s">
        <v>170</v>
      </c>
      <c r="D3" s="43"/>
      <c r="E3" s="154"/>
      <c r="F3" s="43"/>
      <c r="G3" s="43"/>
      <c r="H3" s="43"/>
      <c r="I3" s="43"/>
      <c r="J3" s="43"/>
      <c r="K3" s="96"/>
    </row>
    <row r="4" spans="1:11">
      <c r="A4" s="383" t="s">
        <v>171</v>
      </c>
      <c r="B4" s="49">
        <f>IF(ISERROR('SEAP template'!B69),0,'SEAP template'!B69)</f>
        <v>14139.17888944303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0.21497116704784469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4214.7460000000001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4214.7460000000001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0.21497116704784469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906.04886643023519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106665.83739</v>
      </c>
      <c r="C5" s="17">
        <f>IF(ISERROR('Eigen informatie GS &amp; warmtenet'!B57),0,'Eigen informatie GS &amp; warmtenet'!B57)</f>
        <v>0</v>
      </c>
      <c r="D5" s="30">
        <f>(SUM(HH_hh_gas_kWh,HH_rest_gas_kWh)/1000)*0.902</f>
        <v>360863.20526871999</v>
      </c>
      <c r="E5" s="17">
        <f>B46*B57</f>
        <v>8139.6957958483681</v>
      </c>
      <c r="F5" s="17">
        <f>B51*B62</f>
        <v>0</v>
      </c>
      <c r="G5" s="18"/>
      <c r="H5" s="17"/>
      <c r="I5" s="17"/>
      <c r="J5" s="17">
        <f>B50*B61+C50*C61</f>
        <v>0</v>
      </c>
      <c r="K5" s="17"/>
      <c r="L5" s="17"/>
      <c r="M5" s="17"/>
      <c r="N5" s="17">
        <f>B48*B59+C48*C59</f>
        <v>32058.859667381181</v>
      </c>
      <c r="O5" s="17">
        <f>B69*B70*B71</f>
        <v>558.11</v>
      </c>
      <c r="P5" s="17">
        <f>B77*B78*B79/1000-B77*B78*B79/1000/B80</f>
        <v>1868.5333333333333</v>
      </c>
    </row>
    <row r="6" spans="1:16">
      <c r="A6" s="16" t="s">
        <v>624</v>
      </c>
      <c r="B6" s="843">
        <f>kWh_PV_kleiner_dan_10kW</f>
        <v>6948.4670300732305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113614.30442007323</v>
      </c>
      <c r="C8" s="21">
        <f>C5</f>
        <v>0</v>
      </c>
      <c r="D8" s="21">
        <f>D5</f>
        <v>360863.20526871999</v>
      </c>
      <c r="E8" s="21">
        <f>E5</f>
        <v>8139.6957958483681</v>
      </c>
      <c r="F8" s="21">
        <f>F5</f>
        <v>0</v>
      </c>
      <c r="G8" s="21"/>
      <c r="H8" s="21"/>
      <c r="I8" s="21"/>
      <c r="J8" s="21">
        <f>J5</f>
        <v>0</v>
      </c>
      <c r="K8" s="21"/>
      <c r="L8" s="21">
        <f>L5</f>
        <v>0</v>
      </c>
      <c r="M8" s="21">
        <f>M5</f>
        <v>0</v>
      </c>
      <c r="N8" s="21">
        <f>N5</f>
        <v>32058.859667381181</v>
      </c>
      <c r="O8" s="21">
        <f>O5</f>
        <v>558.11</v>
      </c>
      <c r="P8" s="21">
        <f>P5</f>
        <v>1868.5333333333333</v>
      </c>
    </row>
    <row r="9" spans="1:16">
      <c r="B9" s="19"/>
      <c r="C9" s="19"/>
      <c r="D9" s="258"/>
      <c r="E9" s="19"/>
      <c r="F9" s="19"/>
      <c r="G9" s="19"/>
      <c r="H9" s="19"/>
      <c r="I9" s="19"/>
      <c r="J9" s="19"/>
      <c r="K9" s="19"/>
      <c r="L9" s="19"/>
      <c r="M9" s="19"/>
      <c r="N9" s="19"/>
      <c r="O9" s="19"/>
      <c r="P9" s="19"/>
    </row>
    <row r="10" spans="1:16">
      <c r="A10" s="24" t="s">
        <v>214</v>
      </c>
      <c r="B10" s="25">
        <f ca="1">'EF ele_warmte'!B12</f>
        <v>0.21497116704784469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24423.799614512242</v>
      </c>
      <c r="C12" s="23">
        <f ca="1">C10*C8</f>
        <v>0</v>
      </c>
      <c r="D12" s="23">
        <f>D8*D10</f>
        <v>72894.367464281444</v>
      </c>
      <c r="E12" s="23">
        <f>E10*E8</f>
        <v>1847.7109456575797</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22345</v>
      </c>
      <c r="C18" s="166" t="s">
        <v>111</v>
      </c>
      <c r="D18" s="228"/>
      <c r="E18" s="15"/>
    </row>
    <row r="19" spans="1:7">
      <c r="A19" s="171" t="s">
        <v>72</v>
      </c>
      <c r="B19" s="37">
        <f>aantalw2001_ander</f>
        <v>44</v>
      </c>
      <c r="C19" s="166" t="s">
        <v>111</v>
      </c>
      <c r="D19" s="229"/>
      <c r="E19" s="15"/>
    </row>
    <row r="20" spans="1:7">
      <c r="A20" s="171" t="s">
        <v>73</v>
      </c>
      <c r="B20" s="37">
        <f>aantalw2001_propaan</f>
        <v>106</v>
      </c>
      <c r="C20" s="167">
        <f>IF(ISERROR(B20/SUM($B$20,$B$21,$B$22)*100),0,B20/SUM($B$20,$B$21,$B$22)*100)</f>
        <v>5.7923497267759565</v>
      </c>
      <c r="D20" s="229"/>
      <c r="E20" s="15"/>
    </row>
    <row r="21" spans="1:7">
      <c r="A21" s="171" t="s">
        <v>74</v>
      </c>
      <c r="B21" s="37">
        <f>aantalw2001_elektriciteit</f>
        <v>1577</v>
      </c>
      <c r="C21" s="167">
        <f>IF(ISERROR(B21/SUM($B$20,$B$21,$B$22)*100),0,B21/SUM($B$20,$B$21,$B$22)*100)</f>
        <v>86.174863387978135</v>
      </c>
      <c r="D21" s="229"/>
      <c r="E21" s="15"/>
    </row>
    <row r="22" spans="1:7">
      <c r="A22" s="171" t="s">
        <v>75</v>
      </c>
      <c r="B22" s="37">
        <f>aantalw2001_hout</f>
        <v>147</v>
      </c>
      <c r="C22" s="167">
        <f>IF(ISERROR(B22/SUM($B$20,$B$21,$B$22)*100),0,B22/SUM($B$20,$B$21,$B$22)*100)</f>
        <v>8.0327868852459012</v>
      </c>
      <c r="D22" s="229"/>
      <c r="E22" s="15"/>
    </row>
    <row r="23" spans="1:7">
      <c r="A23" s="171" t="s">
        <v>76</v>
      </c>
      <c r="B23" s="37">
        <f>aantalw2001_niet_gespec</f>
        <v>648</v>
      </c>
      <c r="C23" s="166" t="s">
        <v>111</v>
      </c>
      <c r="D23" s="228"/>
      <c r="E23" s="15"/>
    </row>
    <row r="24" spans="1:7">
      <c r="A24" s="171" t="s">
        <v>77</v>
      </c>
      <c r="B24" s="37">
        <f>aantalw2001_steenkool</f>
        <v>662</v>
      </c>
      <c r="C24" s="166" t="s">
        <v>111</v>
      </c>
      <c r="D24" s="229"/>
      <c r="E24" s="15"/>
    </row>
    <row r="25" spans="1:7">
      <c r="A25" s="171" t="s">
        <v>78</v>
      </c>
      <c r="B25" s="37">
        <f>aantalw2001_stookolie</f>
        <v>5761</v>
      </c>
      <c r="C25" s="166" t="s">
        <v>111</v>
      </c>
      <c r="D25" s="228"/>
      <c r="E25" s="52"/>
    </row>
    <row r="26" spans="1:7">
      <c r="A26" s="171" t="s">
        <v>79</v>
      </c>
      <c r="B26" s="37">
        <f>aantalw2001_WP</f>
        <v>35</v>
      </c>
      <c r="C26" s="166" t="s">
        <v>111</v>
      </c>
      <c r="D26" s="228"/>
      <c r="E26" s="15"/>
    </row>
    <row r="27" spans="1:7" s="15" customFormat="1">
      <c r="A27" s="171"/>
      <c r="B27" s="29"/>
      <c r="C27" s="36"/>
      <c r="D27" s="228"/>
    </row>
    <row r="28" spans="1:7" s="15" customFormat="1">
      <c r="A28" s="230" t="s">
        <v>698</v>
      </c>
      <c r="B28" s="37">
        <f>aantalHuishoudens2011</f>
        <v>35490</v>
      </c>
      <c r="C28" s="36"/>
      <c r="D28" s="228"/>
    </row>
    <row r="29" spans="1:7" s="15" customFormat="1">
      <c r="A29" s="230" t="s">
        <v>699</v>
      </c>
      <c r="B29" s="37">
        <f>SUM(HH_hh_gas_aantal,HH_rest_gas_aantal)</f>
        <v>29179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29179</v>
      </c>
      <c r="C32" s="167">
        <f>IF(ISERROR(B32/SUM($B$32,$B$34,$B$35,$B$36,$B$38,$B$39)*100),0,B32/SUM($B$32,$B$34,$B$35,$B$36,$B$38,$B$39)*100)</f>
        <v>82.445185352622062</v>
      </c>
      <c r="D32" s="233"/>
      <c r="G32" s="15"/>
    </row>
    <row r="33" spans="1:7">
      <c r="A33" s="171" t="s">
        <v>72</v>
      </c>
      <c r="B33" s="34" t="s">
        <v>111</v>
      </c>
      <c r="C33" s="167"/>
      <c r="D33" s="233"/>
      <c r="G33" s="15"/>
    </row>
    <row r="34" spans="1:7">
      <c r="A34" s="171" t="s">
        <v>73</v>
      </c>
      <c r="B34" s="33">
        <f>IF((($B$28-$B$32-$B$39-$B$77-$B$38)*C20/100)&lt;0,0,($B$28-$B$32-$B$39-$B$77-$B$38)*C20/100)</f>
        <v>359.87868852459019</v>
      </c>
      <c r="C34" s="167">
        <f>IF(ISERROR(B34/SUM($B$32,$B$34,$B$35,$B$36,$B$38,$B$39)*100),0,B34/SUM($B$32,$B$34,$B$35,$B$36,$B$38,$B$39)*100)</f>
        <v>1.0168362582634216</v>
      </c>
      <c r="D34" s="233"/>
      <c r="G34" s="15"/>
    </row>
    <row r="35" spans="1:7">
      <c r="A35" s="171" t="s">
        <v>74</v>
      </c>
      <c r="B35" s="33">
        <f>IF((($B$28-$B$32-$B$39-$B$77-$B$38)*C21/100)&lt;0,0,($B$28-$B$32-$B$39-$B$77-$B$38)*C21/100)</f>
        <v>5354.0442622950814</v>
      </c>
      <c r="C35" s="167">
        <f>IF(ISERROR(B35/SUM($B$32,$B$34,$B$35,$B$36,$B$38,$B$39)*100),0,B35/SUM($B$32,$B$34,$B$35,$B$36,$B$38,$B$39)*100)</f>
        <v>15.127837540390713</v>
      </c>
      <c r="D35" s="233"/>
      <c r="G35" s="15"/>
    </row>
    <row r="36" spans="1:7">
      <c r="A36" s="171" t="s">
        <v>75</v>
      </c>
      <c r="B36" s="33">
        <f>IF((($B$28-$B$32-$B$39-$B$77-$B$38)*C22/100)&lt;0,0,($B$28-$B$32-$B$39-$B$77-$B$38)*C22/100)</f>
        <v>499.07704918032783</v>
      </c>
      <c r="C36" s="167">
        <f>IF(ISERROR(B36/SUM($B$32,$B$34,$B$35,$B$36,$B$38,$B$39)*100),0,B36/SUM($B$32,$B$34,$B$35,$B$36,$B$38,$B$39)*100)</f>
        <v>1.4101408487238014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29179</v>
      </c>
      <c r="C44" s="34" t="s">
        <v>111</v>
      </c>
      <c r="D44" s="174"/>
    </row>
    <row r="45" spans="1:7">
      <c r="A45" s="171" t="s">
        <v>72</v>
      </c>
      <c r="B45" s="33" t="str">
        <f t="shared" si="0"/>
        <v>-</v>
      </c>
      <c r="C45" s="34" t="s">
        <v>111</v>
      </c>
      <c r="D45" s="174"/>
    </row>
    <row r="46" spans="1:7">
      <c r="A46" s="171" t="s">
        <v>73</v>
      </c>
      <c r="B46" s="33">
        <f t="shared" si="0"/>
        <v>359.87868852459019</v>
      </c>
      <c r="C46" s="34" t="s">
        <v>111</v>
      </c>
      <c r="D46" s="174"/>
    </row>
    <row r="47" spans="1:7">
      <c r="A47" s="171" t="s">
        <v>74</v>
      </c>
      <c r="B47" s="33">
        <f t="shared" si="0"/>
        <v>5354.0442622950814</v>
      </c>
      <c r="C47" s="34" t="s">
        <v>111</v>
      </c>
      <c r="D47" s="174"/>
    </row>
    <row r="48" spans="1:7">
      <c r="A48" s="171" t="s">
        <v>75</v>
      </c>
      <c r="B48" s="33">
        <f t="shared" si="0"/>
        <v>499.07704918032783</v>
      </c>
      <c r="C48" s="33">
        <f>B48*10</f>
        <v>4990.7704918032787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357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198170.74335230002</v>
      </c>
      <c r="C5" s="17">
        <f>IF(ISERROR('Eigen informatie GS &amp; warmtenet'!B58),0,'Eigen informatie GS &amp; warmtenet'!B58)</f>
        <v>0</v>
      </c>
      <c r="D5" s="30">
        <f>SUM(D6:D12)</f>
        <v>207690.95141830202</v>
      </c>
      <c r="E5" s="17">
        <f>SUM(E6:E12)</f>
        <v>3351.9135870875116</v>
      </c>
      <c r="F5" s="17">
        <f>SUM(F6:F12)</f>
        <v>50559.323344429242</v>
      </c>
      <c r="G5" s="18"/>
      <c r="H5" s="17"/>
      <c r="I5" s="17"/>
      <c r="J5" s="17">
        <f>SUM(J6:J12)</f>
        <v>0</v>
      </c>
      <c r="K5" s="17"/>
      <c r="L5" s="17"/>
      <c r="M5" s="17"/>
      <c r="N5" s="17">
        <f>SUM(N6:N12)</f>
        <v>12381.088202183031</v>
      </c>
      <c r="O5" s="17">
        <f>B38*B39*B40</f>
        <v>4.6900000000000004</v>
      </c>
      <c r="P5" s="17">
        <f>B46*B47*B48/1000-B46*B47*B48/1000/B49</f>
        <v>171.6</v>
      </c>
      <c r="R5" s="32"/>
    </row>
    <row r="6" spans="1:18">
      <c r="A6" s="32" t="s">
        <v>54</v>
      </c>
      <c r="B6" s="37">
        <f>B26</f>
        <v>102036.0796</v>
      </c>
      <c r="C6" s="33"/>
      <c r="D6" s="37">
        <f>IF(ISERROR(TER_kantoor_gas_kWh/1000),0,TER_kantoor_gas_kWh/1000)*0.902</f>
        <v>79215.718699590012</v>
      </c>
      <c r="E6" s="33">
        <f>$C$26*'E Balans VL '!I12/100/3.6*1000000</f>
        <v>1335.7779721884792</v>
      </c>
      <c r="F6" s="33">
        <f>$C$26*('E Balans VL '!L12+'E Balans VL '!N12)/100/3.6*1000000</f>
        <v>26018.145896540482</v>
      </c>
      <c r="G6" s="34"/>
      <c r="H6" s="33"/>
      <c r="I6" s="33"/>
      <c r="J6" s="33">
        <f>$C$26*('E Balans VL '!D12+'E Balans VL '!E12)/100/3.6*1000000</f>
        <v>0</v>
      </c>
      <c r="K6" s="33"/>
      <c r="L6" s="33"/>
      <c r="M6" s="33"/>
      <c r="N6" s="33">
        <f>$C$26*'E Balans VL '!Y12/100/3.6*1000000</f>
        <v>102.37968063271393</v>
      </c>
      <c r="O6" s="33"/>
      <c r="P6" s="33"/>
      <c r="R6" s="32"/>
    </row>
    <row r="7" spans="1:18">
      <c r="A7" s="32" t="s">
        <v>53</v>
      </c>
      <c r="B7" s="37">
        <f t="shared" ref="B7:B12" si="0">B27</f>
        <v>13466.886878000001</v>
      </c>
      <c r="C7" s="33"/>
      <c r="D7" s="37">
        <f>IF(ISERROR(TER_horeca_gas_kWh/1000),0,TER_horeca_gas_kWh/1000)*0.902</f>
        <v>20220.239487997998</v>
      </c>
      <c r="E7" s="33">
        <f>$C$27*'E Balans VL '!I9/100/3.6*1000000</f>
        <v>445.67203933688131</v>
      </c>
      <c r="F7" s="33">
        <f>$C$27*('E Balans VL '!L9+'E Balans VL '!N9)/100/3.6*1000000</f>
        <v>5790.7097461778894</v>
      </c>
      <c r="G7" s="34"/>
      <c r="H7" s="33"/>
      <c r="I7" s="33"/>
      <c r="J7" s="33">
        <f>$C$27*('E Balans VL '!D9+'E Balans VL '!E9)/100/3.6*1000000</f>
        <v>0</v>
      </c>
      <c r="K7" s="33"/>
      <c r="L7" s="33"/>
      <c r="M7" s="33"/>
      <c r="N7" s="33">
        <f>$C$27*'E Balans VL '!Y9/100/3.6*1000000</f>
        <v>3.2416752321930677</v>
      </c>
      <c r="O7" s="33"/>
      <c r="P7" s="33"/>
      <c r="R7" s="32"/>
    </row>
    <row r="8" spans="1:18">
      <c r="A8" s="6" t="s">
        <v>52</v>
      </c>
      <c r="B8" s="37">
        <f t="shared" si="0"/>
        <v>44252.582818000003</v>
      </c>
      <c r="C8" s="33"/>
      <c r="D8" s="37">
        <f>IF(ISERROR(TER_handel_gas_kWh/1000),0,TER_handel_gas_kWh/1000)*0.902</f>
        <v>32367.766498188001</v>
      </c>
      <c r="E8" s="33">
        <f>$C$28*'E Balans VL '!I13/100/3.6*1000000</f>
        <v>1396.6791296699305</v>
      </c>
      <c r="F8" s="33">
        <f>$C$28*('E Balans VL '!L13+'E Balans VL '!N13)/100/3.6*1000000</f>
        <v>8678.710730213741</v>
      </c>
      <c r="G8" s="34"/>
      <c r="H8" s="33"/>
      <c r="I8" s="33"/>
      <c r="J8" s="33">
        <f>$C$28*('E Balans VL '!D13+'E Balans VL '!E13)/100/3.6*1000000</f>
        <v>0</v>
      </c>
      <c r="K8" s="33"/>
      <c r="L8" s="33"/>
      <c r="M8" s="33"/>
      <c r="N8" s="33">
        <f>$C$28*'E Balans VL '!Y13/100/3.6*1000000</f>
        <v>52.519224271485548</v>
      </c>
      <c r="O8" s="33"/>
      <c r="P8" s="33"/>
      <c r="R8" s="32"/>
    </row>
    <row r="9" spans="1:18">
      <c r="A9" s="32" t="s">
        <v>51</v>
      </c>
      <c r="B9" s="37">
        <f t="shared" si="0"/>
        <v>10086.725072000001</v>
      </c>
      <c r="C9" s="33"/>
      <c r="D9" s="37">
        <f>IF(ISERROR(TER_gezond_gas_kWh/1000),0,TER_gezond_gas_kWh/1000)*0.902</f>
        <v>19943.322183069999</v>
      </c>
      <c r="E9" s="33">
        <f>$C$29*'E Balans VL '!I10/100/3.6*1000000</f>
        <v>1.2913958898106963</v>
      </c>
      <c r="F9" s="33">
        <f>$C$29*('E Balans VL '!L10+'E Balans VL '!N10)/100/3.6*1000000</f>
        <v>2101.4876058897512</v>
      </c>
      <c r="G9" s="34"/>
      <c r="H9" s="33"/>
      <c r="I9" s="33"/>
      <c r="J9" s="33">
        <f>$C$29*('E Balans VL '!D10+'E Balans VL '!E10)/100/3.6*1000000</f>
        <v>0</v>
      </c>
      <c r="K9" s="33"/>
      <c r="L9" s="33"/>
      <c r="M9" s="33"/>
      <c r="N9" s="33">
        <f>$C$29*'E Balans VL '!Y10/100/3.6*1000000</f>
        <v>118.47335358368721</v>
      </c>
      <c r="O9" s="33"/>
      <c r="P9" s="33"/>
      <c r="R9" s="32"/>
    </row>
    <row r="10" spans="1:18">
      <c r="A10" s="32" t="s">
        <v>50</v>
      </c>
      <c r="B10" s="37">
        <f t="shared" si="0"/>
        <v>14453.070195</v>
      </c>
      <c r="C10" s="33"/>
      <c r="D10" s="37">
        <f>IF(ISERROR(TER_ander_gas_kWh/1000),0,TER_ander_gas_kWh/1000)*0.902</f>
        <v>28477.226274090004</v>
      </c>
      <c r="E10" s="33">
        <f>$C$30*'E Balans VL '!I14/100/3.6*1000000</f>
        <v>21.734018708530336</v>
      </c>
      <c r="F10" s="33">
        <f>$C$30*('E Balans VL '!L14+'E Balans VL '!N14)/100/3.6*1000000</f>
        <v>3190.7720101630312</v>
      </c>
      <c r="G10" s="34"/>
      <c r="H10" s="33"/>
      <c r="I10" s="33"/>
      <c r="J10" s="33">
        <f>$C$30*('E Balans VL '!D14+'E Balans VL '!E14)/100/3.6*1000000</f>
        <v>0</v>
      </c>
      <c r="K10" s="33"/>
      <c r="L10" s="33"/>
      <c r="M10" s="33"/>
      <c r="N10" s="33">
        <f>$C$30*'E Balans VL '!Y14/100/3.6*1000000</f>
        <v>11389.991968611381</v>
      </c>
      <c r="O10" s="33"/>
      <c r="P10" s="33"/>
      <c r="R10" s="32"/>
    </row>
    <row r="11" spans="1:18">
      <c r="A11" s="32" t="s">
        <v>55</v>
      </c>
      <c r="B11" s="37">
        <f t="shared" si="0"/>
        <v>5903.1753315000005</v>
      </c>
      <c r="C11" s="33"/>
      <c r="D11" s="37">
        <f>IF(ISERROR(TER_onderwijs_gas_kWh/1000),0,TER_onderwijs_gas_kWh/1000)*0.902</f>
        <v>11530.160270266</v>
      </c>
      <c r="E11" s="33">
        <f>$C$31*'E Balans VL '!I11/100/3.6*1000000</f>
        <v>10.395986443154337</v>
      </c>
      <c r="F11" s="33">
        <f>$C$31*('E Balans VL '!L11+'E Balans VL '!N11)/100/3.6*1000000</f>
        <v>2725.6028683345053</v>
      </c>
      <c r="G11" s="34"/>
      <c r="H11" s="33"/>
      <c r="I11" s="33"/>
      <c r="J11" s="33">
        <f>$C$31*('E Balans VL '!D11+'E Balans VL '!E11)/100/3.6*1000000</f>
        <v>0</v>
      </c>
      <c r="K11" s="33"/>
      <c r="L11" s="33"/>
      <c r="M11" s="33"/>
      <c r="N11" s="33">
        <f>$C$31*'E Balans VL '!Y11/100/3.6*1000000</f>
        <v>10.997697276289854</v>
      </c>
      <c r="O11" s="33"/>
      <c r="P11" s="33"/>
      <c r="R11" s="32"/>
    </row>
    <row r="12" spans="1:18">
      <c r="A12" s="32" t="s">
        <v>260</v>
      </c>
      <c r="B12" s="37">
        <f t="shared" si="0"/>
        <v>7972.2234577999998</v>
      </c>
      <c r="C12" s="33"/>
      <c r="D12" s="37">
        <f>IF(ISERROR(TER_rest_gas_kWh/1000),0,TER_rest_gas_kWh/1000)*0.902</f>
        <v>15936.518005100002</v>
      </c>
      <c r="E12" s="33">
        <f>$C$32*'E Balans VL '!I8/100/3.6*1000000</f>
        <v>140.36304485072563</v>
      </c>
      <c r="F12" s="33">
        <f>$C$32*('E Balans VL '!L8+'E Balans VL '!N8)/100/3.6*1000000</f>
        <v>2053.894487109842</v>
      </c>
      <c r="G12" s="34"/>
      <c r="H12" s="33"/>
      <c r="I12" s="33"/>
      <c r="J12" s="33">
        <f>$C$32*('E Balans VL '!D8+'E Balans VL '!E8)/100/3.6*1000000</f>
        <v>0</v>
      </c>
      <c r="K12" s="33"/>
      <c r="L12" s="33"/>
      <c r="M12" s="33"/>
      <c r="N12" s="33">
        <f>$C$32*'E Balans VL '!Y8/100/3.6*1000000</f>
        <v>703.48460257527893</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198170.74335230002</v>
      </c>
      <c r="C16" s="21">
        <f t="shared" ca="1" si="1"/>
        <v>0</v>
      </c>
      <c r="D16" s="21">
        <f t="shared" ca="1" si="1"/>
        <v>207690.95141830202</v>
      </c>
      <c r="E16" s="21">
        <f t="shared" si="1"/>
        <v>3351.9135870875116</v>
      </c>
      <c r="F16" s="21">
        <f t="shared" ca="1" si="1"/>
        <v>50559.323344429242</v>
      </c>
      <c r="G16" s="21">
        <f t="shared" si="1"/>
        <v>0</v>
      </c>
      <c r="H16" s="21">
        <f t="shared" si="1"/>
        <v>0</v>
      </c>
      <c r="I16" s="21">
        <f t="shared" si="1"/>
        <v>0</v>
      </c>
      <c r="J16" s="21">
        <f t="shared" si="1"/>
        <v>0</v>
      </c>
      <c r="K16" s="21">
        <f t="shared" si="1"/>
        <v>0</v>
      </c>
      <c r="L16" s="21">
        <f t="shared" ca="1" si="1"/>
        <v>0</v>
      </c>
      <c r="M16" s="21">
        <f t="shared" si="1"/>
        <v>0</v>
      </c>
      <c r="N16" s="21">
        <f t="shared" ca="1" si="1"/>
        <v>12381.088202183031</v>
      </c>
      <c r="O16" s="21">
        <f>O5</f>
        <v>4.6900000000000004</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0.21497116704784469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42600.995973182849</v>
      </c>
      <c r="C20" s="23">
        <f t="shared" ref="C20:P20" ca="1" si="2">C16*C18</f>
        <v>0</v>
      </c>
      <c r="D20" s="23">
        <f t="shared" ca="1" si="2"/>
        <v>41953.572186497011</v>
      </c>
      <c r="E20" s="23">
        <f t="shared" si="2"/>
        <v>760.88438426886512</v>
      </c>
      <c r="F20" s="23">
        <f t="shared" ca="1" si="2"/>
        <v>13499.339332962609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102036.0796</v>
      </c>
      <c r="C26" s="39">
        <f>IF(ISERROR(B26*3.6/1000000/'E Balans VL '!Z12*100),0,B26*3.6/1000000/'E Balans VL '!Z12*100)</f>
        <v>2.185692093775554</v>
      </c>
      <c r="D26" s="237" t="s">
        <v>660</v>
      </c>
      <c r="F26" s="6"/>
    </row>
    <row r="27" spans="1:18">
      <c r="A27" s="231" t="s">
        <v>53</v>
      </c>
      <c r="B27" s="33">
        <f>IF(ISERROR(TER_horeca_ele_kWh/1000),0,TER_horeca_ele_kWh/1000)</f>
        <v>13466.886878000001</v>
      </c>
      <c r="C27" s="39">
        <f>IF(ISERROR(B27*3.6/1000000/'E Balans VL '!Z9*100),0,B27*3.6/1000000/'E Balans VL '!Z9*100)</f>
        <v>1.0806708615385139</v>
      </c>
      <c r="D27" s="237" t="s">
        <v>660</v>
      </c>
      <c r="F27" s="6"/>
    </row>
    <row r="28" spans="1:18">
      <c r="A28" s="171" t="s">
        <v>52</v>
      </c>
      <c r="B28" s="33">
        <f>IF(ISERROR(TER_handel_ele_kWh/1000),0,TER_handel_ele_kWh/1000)</f>
        <v>44252.582818000003</v>
      </c>
      <c r="C28" s="39">
        <f>IF(ISERROR(B28*3.6/1000000/'E Balans VL '!Z13*100),0,B28*3.6/1000000/'E Balans VL '!Z13*100)</f>
        <v>1.3051973704401205</v>
      </c>
      <c r="D28" s="237" t="s">
        <v>660</v>
      </c>
      <c r="F28" s="6"/>
    </row>
    <row r="29" spans="1:18">
      <c r="A29" s="231" t="s">
        <v>51</v>
      </c>
      <c r="B29" s="33">
        <f>IF(ISERROR(TER_gezond_ele_kWh/1000),0,TER_gezond_ele_kWh/1000)</f>
        <v>10086.725072000001</v>
      </c>
      <c r="C29" s="39">
        <f>IF(ISERROR(B29*3.6/1000000/'E Balans VL '!Z10*100),0,B29*3.6/1000000/'E Balans VL '!Z10*100)</f>
        <v>1.0769918024491818</v>
      </c>
      <c r="D29" s="237" t="s">
        <v>660</v>
      </c>
      <c r="F29" s="6"/>
    </row>
    <row r="30" spans="1:18">
      <c r="A30" s="231" t="s">
        <v>50</v>
      </c>
      <c r="B30" s="33">
        <f>IF(ISERROR(TER_ander_ele_kWh/1000),0,TER_ander_ele_kWh/1000)</f>
        <v>14453.070195</v>
      </c>
      <c r="C30" s="39">
        <f>IF(ISERROR(B30*3.6/1000000/'E Balans VL '!Z14*100),0,B30*3.6/1000000/'E Balans VL '!Z14*100)</f>
        <v>1.0916971467457011</v>
      </c>
      <c r="D30" s="237" t="s">
        <v>660</v>
      </c>
      <c r="F30" s="6"/>
    </row>
    <row r="31" spans="1:18">
      <c r="A31" s="231" t="s">
        <v>55</v>
      </c>
      <c r="B31" s="33">
        <f>IF(ISERROR(TER_onderwijs_ele_kWh/1000),0,TER_onderwijs_ele_kWh/1000)</f>
        <v>5903.1753315000005</v>
      </c>
      <c r="C31" s="39">
        <f>IF(ISERROR(B31*3.6/1000000/'E Balans VL '!Z11*100),0,B31*3.6/1000000/'E Balans VL '!Z11*100)</f>
        <v>1.192048162646379</v>
      </c>
      <c r="D31" s="237" t="s">
        <v>660</v>
      </c>
    </row>
    <row r="32" spans="1:18">
      <c r="A32" s="231" t="s">
        <v>260</v>
      </c>
      <c r="B32" s="33">
        <f>IF(ISERROR(TER_rest_ele_kWh/1000),0,TER_rest_ele_kWh/1000)</f>
        <v>7972.2234577999998</v>
      </c>
      <c r="C32" s="39">
        <f>IF(ISERROR(B32*3.6/1000000/'E Balans VL '!Z8*100),0,B32*3.6/1000000/'E Balans VL '!Z8*100)</f>
        <v>6.6100833706241299E-2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9</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201234.89244207402</v>
      </c>
      <c r="C5" s="17">
        <f>IF(ISERROR('Eigen informatie GS &amp; warmtenet'!B59),0,'Eigen informatie GS &amp; warmtenet'!B59)</f>
        <v>0</v>
      </c>
      <c r="D5" s="30">
        <f>SUM(D6:D15)</f>
        <v>263375.4083137078</v>
      </c>
      <c r="E5" s="17">
        <f>SUM(E6:E15)</f>
        <v>10464.428161813235</v>
      </c>
      <c r="F5" s="17">
        <f>SUM(F6:F15)</f>
        <v>43338.983751048989</v>
      </c>
      <c r="G5" s="18"/>
      <c r="H5" s="17"/>
      <c r="I5" s="17"/>
      <c r="J5" s="17">
        <f>SUM(J6:J15)</f>
        <v>1395.7078350868946</v>
      </c>
      <c r="K5" s="17"/>
      <c r="L5" s="17"/>
      <c r="M5" s="17"/>
      <c r="N5" s="17">
        <f>SUM(N6:N15)</f>
        <v>40887.792826944104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9430.6071917000008</v>
      </c>
      <c r="C8" s="33"/>
      <c r="D8" s="37">
        <f>IF( ISERROR(IND_metaal_Gas_kWH/1000),0,IND_metaal_Gas_kWH/1000)*0.902</f>
        <v>10371.1785012</v>
      </c>
      <c r="E8" s="33">
        <f>C30*'E Balans VL '!I18/100/3.6*1000000</f>
        <v>339.34177627808026</v>
      </c>
      <c r="F8" s="33">
        <f>C30*'E Balans VL '!L18/100/3.6*1000000+C30*'E Balans VL '!N18/100/3.6*1000000</f>
        <v>4118.0404532212551</v>
      </c>
      <c r="G8" s="34"/>
      <c r="H8" s="33"/>
      <c r="I8" s="33"/>
      <c r="J8" s="40">
        <f>C30*'E Balans VL '!D18/100/3.6*1000000+C30*'E Balans VL '!E18/100/3.6*1000000</f>
        <v>0</v>
      </c>
      <c r="K8" s="33"/>
      <c r="L8" s="33"/>
      <c r="M8" s="33"/>
      <c r="N8" s="33">
        <f>C30*'E Balans VL '!Y18/100/3.6*1000000</f>
        <v>472.65562367134589</v>
      </c>
      <c r="O8" s="33"/>
      <c r="P8" s="33"/>
      <c r="R8" s="32"/>
    </row>
    <row r="9" spans="1:18">
      <c r="A9" s="6" t="s">
        <v>33</v>
      </c>
      <c r="B9" s="37">
        <f t="shared" si="0"/>
        <v>10506.270025</v>
      </c>
      <c r="C9" s="33"/>
      <c r="D9" s="37">
        <f>IF( ISERROR(IND_andere_gas_kWh/1000),0,IND_andere_gas_kWh/1000)*0.902</f>
        <v>8931.6494088447998</v>
      </c>
      <c r="E9" s="33">
        <f>C31*'E Balans VL '!I19/100/3.6*1000000</f>
        <v>2680.9623993626465</v>
      </c>
      <c r="F9" s="33">
        <f>C31*'E Balans VL '!L19/100/3.6*1000000+C31*'E Balans VL '!N19/100/3.6*1000000</f>
        <v>9045.1088095697251</v>
      </c>
      <c r="G9" s="34"/>
      <c r="H9" s="33"/>
      <c r="I9" s="33"/>
      <c r="J9" s="40">
        <f>C31*'E Balans VL '!D19/100/3.6*1000000+C31*'E Balans VL '!E19/100/3.6*1000000</f>
        <v>0</v>
      </c>
      <c r="K9" s="33"/>
      <c r="L9" s="33"/>
      <c r="M9" s="33"/>
      <c r="N9" s="33">
        <f>C31*'E Balans VL '!Y19/100/3.6*1000000</f>
        <v>3285.6704389885572</v>
      </c>
      <c r="O9" s="33"/>
      <c r="P9" s="33"/>
      <c r="R9" s="32"/>
    </row>
    <row r="10" spans="1:18">
      <c r="A10" s="6" t="s">
        <v>41</v>
      </c>
      <c r="B10" s="37">
        <f t="shared" si="0"/>
        <v>2407.5955994000001</v>
      </c>
      <c r="C10" s="33"/>
      <c r="D10" s="37">
        <f>IF( ISERROR(IND_voed_gas_kWh/1000),0,IND_voed_gas_kWh/1000)*0.902</f>
        <v>2288.5313959332002</v>
      </c>
      <c r="E10" s="33">
        <f>C32*'E Balans VL '!I20/100/3.6*1000000</f>
        <v>61.204386036418875</v>
      </c>
      <c r="F10" s="33">
        <f>C32*'E Balans VL '!L20/100/3.6*1000000+C32*'E Balans VL '!N20/100/3.6*1000000</f>
        <v>544.80274301746033</v>
      </c>
      <c r="G10" s="34"/>
      <c r="H10" s="33"/>
      <c r="I10" s="33"/>
      <c r="J10" s="40">
        <f>C32*'E Balans VL '!D20/100/3.6*1000000+C32*'E Balans VL '!E20/100/3.6*1000000</f>
        <v>0</v>
      </c>
      <c r="K10" s="33"/>
      <c r="L10" s="33"/>
      <c r="M10" s="33"/>
      <c r="N10" s="33">
        <f>C32*'E Balans VL '!Y20/100/3.6*1000000</f>
        <v>902.91361022065405</v>
      </c>
      <c r="O10" s="33"/>
      <c r="P10" s="33"/>
      <c r="R10" s="32"/>
    </row>
    <row r="11" spans="1:18">
      <c r="A11" s="6" t="s">
        <v>40</v>
      </c>
      <c r="B11" s="37">
        <f t="shared" si="0"/>
        <v>34.096145444000001</v>
      </c>
      <c r="C11" s="33"/>
      <c r="D11" s="37">
        <f>IF( ISERROR(IND_textiel_gas_kWh/1000),0,IND_textiel_gas_kWh/1000)*0.902</f>
        <v>0</v>
      </c>
      <c r="E11" s="33">
        <f>C33*'E Balans VL '!I21/100/3.6*1000000</f>
        <v>9.3603088476393148E-2</v>
      </c>
      <c r="F11" s="33">
        <f>C33*'E Balans VL '!L21/100/3.6*1000000+C33*'E Balans VL '!N21/100/3.6*1000000</f>
        <v>1.8076355344930621</v>
      </c>
      <c r="G11" s="34"/>
      <c r="H11" s="33"/>
      <c r="I11" s="33"/>
      <c r="J11" s="40">
        <f>C33*'E Balans VL '!D21/100/3.6*1000000+C33*'E Balans VL '!E21/100/3.6*1000000</f>
        <v>0</v>
      </c>
      <c r="K11" s="33"/>
      <c r="L11" s="33"/>
      <c r="M11" s="33"/>
      <c r="N11" s="33">
        <f>C33*'E Balans VL '!Y21/100/3.6*1000000</f>
        <v>6.8527610023428623E-2</v>
      </c>
      <c r="O11" s="33"/>
      <c r="P11" s="33"/>
      <c r="R11" s="32"/>
    </row>
    <row r="12" spans="1:18">
      <c r="A12" s="6" t="s">
        <v>37</v>
      </c>
      <c r="B12" s="37">
        <f t="shared" si="0"/>
        <v>108.70524033</v>
      </c>
      <c r="C12" s="33"/>
      <c r="D12" s="37">
        <f>IF( ISERROR(IND_min_gas_kWh/1000),0,IND_min_gas_kWh/1000)*0.902</f>
        <v>0</v>
      </c>
      <c r="E12" s="33">
        <f>C34*'E Balans VL '!I22/100/3.6*1000000</f>
        <v>2.3097139175243009</v>
      </c>
      <c r="F12" s="33">
        <f>C34*'E Balans VL '!L22/100/3.6*1000000+C34*'E Balans VL '!N22/100/3.6*1000000</f>
        <v>17.736186356617623</v>
      </c>
      <c r="G12" s="34"/>
      <c r="H12" s="33"/>
      <c r="I12" s="33"/>
      <c r="J12" s="40">
        <f>C34*'E Balans VL '!D22/100/3.6*1000000+C34*'E Balans VL '!E22/100/3.6*1000000</f>
        <v>0.12665174941312929</v>
      </c>
      <c r="K12" s="33"/>
      <c r="L12" s="33"/>
      <c r="M12" s="33"/>
      <c r="N12" s="33">
        <f>C34*'E Balans VL '!Y22/100/3.6*1000000</f>
        <v>0</v>
      </c>
      <c r="O12" s="33"/>
      <c r="P12" s="33"/>
      <c r="R12" s="32"/>
    </row>
    <row r="13" spans="1:18">
      <c r="A13" s="6" t="s">
        <v>39</v>
      </c>
      <c r="B13" s="37">
        <f t="shared" si="0"/>
        <v>4638.0701772000002</v>
      </c>
      <c r="C13" s="33"/>
      <c r="D13" s="37">
        <f>IF( ISERROR(IND_papier_gas_kWh/1000),0,IND_papier_gas_kWh/1000)*0.902</f>
        <v>4951.4824179238003</v>
      </c>
      <c r="E13" s="33">
        <f>C35*'E Balans VL '!I23/100/3.6*1000000</f>
        <v>19.891333692914802</v>
      </c>
      <c r="F13" s="33">
        <f>C35*'E Balans VL '!L23/100/3.6*1000000+C35*'E Balans VL '!N23/100/3.6*1000000</f>
        <v>116.56909920643811</v>
      </c>
      <c r="G13" s="34"/>
      <c r="H13" s="33"/>
      <c r="I13" s="33"/>
      <c r="J13" s="40">
        <f>C35*'E Balans VL '!D23/100/3.6*1000000+C35*'E Balans VL '!E23/100/3.6*1000000</f>
        <v>310.49335959506624</v>
      </c>
      <c r="K13" s="33"/>
      <c r="L13" s="33"/>
      <c r="M13" s="33"/>
      <c r="N13" s="33">
        <f>C35*'E Balans VL '!Y23/100/3.6*1000000</f>
        <v>8442.3906976732542</v>
      </c>
      <c r="O13" s="33"/>
      <c r="P13" s="33"/>
      <c r="R13" s="32"/>
    </row>
    <row r="14" spans="1:18">
      <c r="A14" s="6" t="s">
        <v>34</v>
      </c>
      <c r="B14" s="37">
        <f t="shared" si="0"/>
        <v>40265.665252999999</v>
      </c>
      <c r="C14" s="33"/>
      <c r="D14" s="37">
        <f>IF( ISERROR(IND_chemie_gas_kWh/1000),0,IND_chemie_gas_kWh/1000)*0.902</f>
        <v>33926.007189426004</v>
      </c>
      <c r="E14" s="33">
        <f>C36*'E Balans VL '!I24/100/3.6*1000000</f>
        <v>96.530625358257822</v>
      </c>
      <c r="F14" s="33">
        <f>C36*'E Balans VL '!L24/100/3.6*1000000+C36*'E Balans VL '!N24/100/3.6*1000000</f>
        <v>323.14107191908914</v>
      </c>
      <c r="G14" s="34"/>
      <c r="H14" s="33"/>
      <c r="I14" s="33"/>
      <c r="J14" s="40">
        <f>C36*'E Balans VL '!D24/100/3.6*1000000+C36*'E Balans VL '!E24/100/3.6*1000000</f>
        <v>0</v>
      </c>
      <c r="K14" s="33"/>
      <c r="L14" s="33"/>
      <c r="M14" s="33"/>
      <c r="N14" s="33">
        <f>C36*'E Balans VL '!Y24/100/3.6*1000000</f>
        <v>832.26008438855297</v>
      </c>
      <c r="O14" s="33"/>
      <c r="P14" s="33"/>
      <c r="R14" s="32"/>
    </row>
    <row r="15" spans="1:18">
      <c r="A15" s="6" t="s">
        <v>270</v>
      </c>
      <c r="B15" s="37">
        <f t="shared" si="0"/>
        <v>133843.88281000001</v>
      </c>
      <c r="C15" s="33"/>
      <c r="D15" s="37">
        <f>IF( ISERROR(IND_rest_gas_kWh/1000),0,IND_rest_gas_kWh/1000)*0.902</f>
        <v>202906.55940038001</v>
      </c>
      <c r="E15" s="33">
        <f>C37*'E Balans VL '!I15/100/3.6*1000000</f>
        <v>7264.0943240789165</v>
      </c>
      <c r="F15" s="33">
        <f>C37*'E Balans VL '!L15/100/3.6*1000000+C37*'E Balans VL '!N15/100/3.6*1000000</f>
        <v>29171.777752223912</v>
      </c>
      <c r="G15" s="34"/>
      <c r="H15" s="33"/>
      <c r="I15" s="33"/>
      <c r="J15" s="40">
        <f>C37*'E Balans VL '!D15/100/3.6*1000000+C37*'E Balans VL '!E15/100/3.6*1000000</f>
        <v>1085.0878237424154</v>
      </c>
      <c r="K15" s="33"/>
      <c r="L15" s="33"/>
      <c r="M15" s="33"/>
      <c r="N15" s="33">
        <f>C37*'E Balans VL '!Y15/100/3.6*1000000</f>
        <v>26951.833844391713</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201234.89244207402</v>
      </c>
      <c r="C18" s="21">
        <f>C5+C16</f>
        <v>0</v>
      </c>
      <c r="D18" s="21">
        <f>MAX((D5+D16),0)</f>
        <v>263375.4083137078</v>
      </c>
      <c r="E18" s="21">
        <f>MAX((E5+E16),0)</f>
        <v>10464.428161813235</v>
      </c>
      <c r="F18" s="21">
        <f>MAX((F5+F16),0)</f>
        <v>43338.983751048989</v>
      </c>
      <c r="G18" s="21"/>
      <c r="H18" s="21"/>
      <c r="I18" s="21"/>
      <c r="J18" s="21">
        <f>MAX((J5+J16),0)</f>
        <v>1395.7078350868946</v>
      </c>
      <c r="K18" s="21"/>
      <c r="L18" s="21">
        <f>MAX((L5+L16),0)</f>
        <v>0</v>
      </c>
      <c r="M18" s="21"/>
      <c r="N18" s="21">
        <f>MAX((N5+N16),0)</f>
        <v>40887.792826944104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0.21497116704784469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43259.699679020152</v>
      </c>
      <c r="C22" s="23">
        <f ca="1">C18*C20</f>
        <v>0</v>
      </c>
      <c r="D22" s="23">
        <f>D18*D20</f>
        <v>53201.832479368975</v>
      </c>
      <c r="E22" s="23">
        <f>E18*E20</f>
        <v>2375.4251927316045</v>
      </c>
      <c r="F22" s="23">
        <f>F18*F20</f>
        <v>11571.508661530081</v>
      </c>
      <c r="G22" s="23"/>
      <c r="H22" s="23"/>
      <c r="I22" s="23"/>
      <c r="J22" s="23">
        <f>J18*J20</f>
        <v>494.08057362076067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9430.6071917000008</v>
      </c>
      <c r="C30" s="39">
        <f>IF(ISERROR(B30*3.6/1000000/'E Balans VL '!Z18*100),0,B30*3.6/1000000/'E Balans VL '!Z18*100)</f>
        <v>1.9981434770317854</v>
      </c>
      <c r="D30" s="237" t="s">
        <v>660</v>
      </c>
    </row>
    <row r="31" spans="1:18">
      <c r="A31" s="6" t="s">
        <v>33</v>
      </c>
      <c r="B31" s="37">
        <f>IF( ISERROR(IND_ander_ele_kWh/1000),0,IND_ander_ele_kWh/1000)</f>
        <v>10506.270025</v>
      </c>
      <c r="C31" s="39">
        <f>IF(ISERROR(B31*3.6/1000000/'E Balans VL '!Z19*100),0,B31*3.6/1000000/'E Balans VL '!Z19*100)</f>
        <v>0.44223276157330726</v>
      </c>
      <c r="D31" s="237" t="s">
        <v>660</v>
      </c>
    </row>
    <row r="32" spans="1:18">
      <c r="A32" s="171" t="s">
        <v>41</v>
      </c>
      <c r="B32" s="37">
        <f>IF( ISERROR(IND_voed_ele_kWh/1000),0,IND_voed_ele_kWh/1000)</f>
        <v>2407.5955994000001</v>
      </c>
      <c r="C32" s="39">
        <f>IF(ISERROR(B32*3.6/1000000/'E Balans VL '!Z20*100),0,B32*3.6/1000000/'E Balans VL '!Z20*100)</f>
        <v>0.40221608495049582</v>
      </c>
      <c r="D32" s="237" t="s">
        <v>660</v>
      </c>
    </row>
    <row r="33" spans="1:5">
      <c r="A33" s="171" t="s">
        <v>40</v>
      </c>
      <c r="B33" s="37">
        <f>IF( ISERROR(IND_textiel_ele_kWh/1000),0,IND_textiel_ele_kWh/1000)</f>
        <v>34.096145444000001</v>
      </c>
      <c r="C33" s="39">
        <f>IF(ISERROR(B33*3.6/1000000/'E Balans VL '!Z21*100),0,B33*3.6/1000000/'E Balans VL '!Z21*100)</f>
        <v>1.9906350043116519E-3</v>
      </c>
      <c r="D33" s="237" t="s">
        <v>660</v>
      </c>
    </row>
    <row r="34" spans="1:5">
      <c r="A34" s="171" t="s">
        <v>37</v>
      </c>
      <c r="B34" s="37">
        <f>IF( ISERROR(IND_min_ele_kWh/1000),0,IND_min_ele_kWh/1000)</f>
        <v>108.70524033</v>
      </c>
      <c r="C34" s="39">
        <f>IF(ISERROR(B34*3.6/1000000/'E Balans VL '!Z22*100),0,B34*3.6/1000000/'E Balans VL '!Z22*100)</f>
        <v>1.3778975457457146E-2</v>
      </c>
      <c r="D34" s="237" t="s">
        <v>660</v>
      </c>
    </row>
    <row r="35" spans="1:5">
      <c r="A35" s="171" t="s">
        <v>39</v>
      </c>
      <c r="B35" s="37">
        <f>IF( ISERROR(IND_papier_ele_kWh/1000),0,IND_papier_ele_kWh/1000)</f>
        <v>4638.0701772000002</v>
      </c>
      <c r="C35" s="39">
        <f>IF(ISERROR(B35*3.6/1000000/'E Balans VL '!Z22*100),0,B35*3.6/1000000/'E Balans VL '!Z22*100)</f>
        <v>0.58790040799869059</v>
      </c>
      <c r="D35" s="237" t="s">
        <v>660</v>
      </c>
    </row>
    <row r="36" spans="1:5">
      <c r="A36" s="171" t="s">
        <v>34</v>
      </c>
      <c r="B36" s="37">
        <f>IF( ISERROR(IND_chemie_ele_kWh/1000),0,IND_chemie_ele_kWh/1000)</f>
        <v>40265.665252999999</v>
      </c>
      <c r="C36" s="39">
        <f>IF(ISERROR(B36*3.6/1000000/'E Balans VL '!Z24*100),0,B36*3.6/1000000/'E Balans VL '!Z24*100)</f>
        <v>1.3078301058932635</v>
      </c>
      <c r="D36" s="237" t="s">
        <v>660</v>
      </c>
    </row>
    <row r="37" spans="1:5">
      <c r="A37" s="171" t="s">
        <v>270</v>
      </c>
      <c r="B37" s="37">
        <f>IF( ISERROR(IND_rest_ele_kWh/1000),0,IND_rest_ele_kWh/1000)</f>
        <v>133843.88281000001</v>
      </c>
      <c r="C37" s="39">
        <f>IF(ISERROR(B37*3.6/1000000/'E Balans VL '!Z15*100),0,B37*3.6/1000000/'E Balans VL '!Z15*100)</f>
        <v>1.0805734926519672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892.77984520000007</v>
      </c>
      <c r="C5" s="17">
        <f>'Eigen informatie GS &amp; warmtenet'!B60</f>
        <v>0</v>
      </c>
      <c r="D5" s="30">
        <f>IF(ISERROR(SUM(LB_lb_gas_kWh,LB_rest_gas_kWh,onbekend_gas_kWh)/1000),0,SUM(LB_lb_gas_kWh,LB_rest_gas_kWh,onbekend_gas_kWh)/1000)*0.902</f>
        <v>21531.638058774141</v>
      </c>
      <c r="E5" s="17">
        <f>B17*'E Balans VL '!I25/3.6*1000000/100</f>
        <v>23.02136432941575</v>
      </c>
      <c r="F5" s="17">
        <f>B17*('E Balans VL '!L25/3.6*1000000+'E Balans VL '!N25/3.6*1000000)/100</f>
        <v>3263.2803558683531</v>
      </c>
      <c r="G5" s="18"/>
      <c r="H5" s="17"/>
      <c r="I5" s="17"/>
      <c r="J5" s="17">
        <f>('E Balans VL '!D25+'E Balans VL '!E25)/3.6*1000000*landbouw!B17/100</f>
        <v>128.52745532279198</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892.77984520000007</v>
      </c>
      <c r="C8" s="21">
        <f>C5+C6</f>
        <v>0</v>
      </c>
      <c r="D8" s="21">
        <f>MAX((D5+D6),0)</f>
        <v>21531.638058774141</v>
      </c>
      <c r="E8" s="21">
        <f>MAX((E5+E6),0)</f>
        <v>23.02136432941575</v>
      </c>
      <c r="F8" s="21">
        <f>MAX((F5+F6),0)</f>
        <v>3263.2803558683531</v>
      </c>
      <c r="G8" s="21"/>
      <c r="H8" s="21"/>
      <c r="I8" s="21"/>
      <c r="J8" s="21">
        <f>MAX((J5+J6),0)</f>
        <v>128.52745532279198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0.21497116704784469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191.92192523943814</v>
      </c>
      <c r="C12" s="23">
        <f ca="1">C8*C10</f>
        <v>0</v>
      </c>
      <c r="D12" s="23">
        <f>D8*D10</f>
        <v>4349.3908878723769</v>
      </c>
      <c r="E12" s="23">
        <f>E8*E10</f>
        <v>5.2258497027773751</v>
      </c>
      <c r="F12" s="23">
        <f>F8*F10</f>
        <v>871.29585501685028</v>
      </c>
      <c r="G12" s="23"/>
      <c r="H12" s="23"/>
      <c r="I12" s="23"/>
      <c r="J12" s="23">
        <f>J8*J10</f>
        <v>45.49871918426836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0.12588787181429381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135.40266047478957</v>
      </c>
      <c r="C26" s="247">
        <f>B26*'GWP N2O_CH4'!B5</f>
        <v>2843.4558699705808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15.780286309216146</v>
      </c>
      <c r="C27" s="247">
        <f>B27*'GWP N2O_CH4'!B5</f>
        <v>331.38601249353906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1.7874166647994796</v>
      </c>
      <c r="C28" s="247">
        <f>B28*'GWP N2O_CH4'!B4</f>
        <v>554.09916608783863</v>
      </c>
      <c r="D28" s="50"/>
    </row>
    <row r="29" spans="1:4">
      <c r="A29" s="41" t="s">
        <v>277</v>
      </c>
      <c r="B29" s="247">
        <f>B34*'ha_N2O bodem landbouw'!B4</f>
        <v>12.718445748527191</v>
      </c>
      <c r="C29" s="247">
        <f>B29*'GWP N2O_CH4'!B4</f>
        <v>3942.7181820434294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2.8623414338654505E-3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6.2973009890086688E-4</v>
      </c>
      <c r="C5" s="463" t="s">
        <v>211</v>
      </c>
      <c r="D5" s="448">
        <f>SUM(D6:D11)</f>
        <v>1.3792901524202338E-3</v>
      </c>
      <c r="E5" s="448">
        <f>SUM(E6:E11)</f>
        <v>5.9769179233125592E-3</v>
      </c>
      <c r="F5" s="461" t="s">
        <v>211</v>
      </c>
      <c r="G5" s="448">
        <f>SUM(G6:G11)</f>
        <v>1.9400680591617285</v>
      </c>
      <c r="H5" s="448">
        <f>SUM(H6:H11)</f>
        <v>0.37896027408981398</v>
      </c>
      <c r="I5" s="463" t="s">
        <v>211</v>
      </c>
      <c r="J5" s="463" t="s">
        <v>211</v>
      </c>
      <c r="K5" s="463" t="s">
        <v>211</v>
      </c>
      <c r="L5" s="463" t="s">
        <v>211</v>
      </c>
      <c r="M5" s="448">
        <f>SUM(M6:M11)</f>
        <v>7.2476019635030822E-2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2.5864942037882204E-4</v>
      </c>
      <c r="C6" s="449"/>
      <c r="D6" s="962">
        <f>vkm_2011_GW_PW*SUMIFS(TableVerdeelsleutelVkm[CNG],TableVerdeelsleutelVkm[Voertuigtype],"Lichte voertuigen")*SUMIFS(TableECFTransport[EnergieConsumptieFactor (PJ per km)],TableECFTransport[Index],CONCATENATE($A6,"_CNG_CNG"))</f>
        <v>5.139409289342049E-4</v>
      </c>
      <c r="E6" s="962">
        <f>vkm_2011_GW_PW*SUMIFS(TableVerdeelsleutelVkm[LPG],TableVerdeelsleutelVkm[Voertuigtype],"Lichte voertuigen")*SUMIFS(TableECFTransport[EnergieConsumptieFactor (PJ per km)],TableECFTransport[Index],CONCATENATE($A6,"_LPG_LPG"))</f>
        <v>2.0225417893681144E-3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0.4808910400562611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0.13913927103351348</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1.9320717037917875E-2</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0.18026987090121568</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5.8234868259626365E-5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5.6800278054824462E-3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6.4988915737335945E-5</v>
      </c>
      <c r="C8" s="449"/>
      <c r="D8" s="451">
        <f>vkm_2011_NGW_PW*SUMIFS(TableVerdeelsleutelVkm[CNG],TableVerdeelsleutelVkm[Voertuigtype],"Lichte voertuigen")*SUMIFS(TableECFTransport[EnergieConsumptieFactor (PJ per km)],TableECFTransport[Index],CONCATENATE($A8,"_CNG_CNG"))</f>
        <v>2.2864940893378512E-4</v>
      </c>
      <c r="E8" s="451">
        <f>vkm_2011_NGW_PW*SUMIFS(TableVerdeelsleutelVkm[LPG],TableVerdeelsleutelVkm[Voertuigtype],"Lichte voertuigen")*SUMIFS(TableECFTransport[EnergieConsumptieFactor (PJ per km)],TableECFTransport[Index],CONCATENATE($A8,"_LPG_LPG"))</f>
        <v>8.3217211862230745E-4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0.18476560354410082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6.0023818034116702E-2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7.6201991744369122E-3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2.7549253080478772E-2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8.4165304091055042E-6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8.6802032373362861E-4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3.0609176278470886E-4</v>
      </c>
      <c r="C10" s="449"/>
      <c r="D10" s="451">
        <f>vkm_2011_SW_PW*SUMIFS(TableVerdeelsleutelVkm[CNG],TableVerdeelsleutelVkm[Voertuigtype],"Lichte voertuigen")*SUMIFS(TableECFTransport[EnergieConsumptieFactor (PJ per km)],TableECFTransport[Index],CONCATENATE($A10,"_CNG_CNG"))</f>
        <v>6.3669981455224381E-4</v>
      </c>
      <c r="E10" s="451">
        <f>vkm_2011_SW_PW*SUMIFS(TableVerdeelsleutelVkm[LPG],TableVerdeelsleutelVkm[Voertuigtype],"Lichte voertuigen")*SUMIFS(TableECFTransport[EnergieConsumptieFactor (PJ per km)],TableECFTransport[Index],CONCATENATE($A10,"_LPG_LPG"))</f>
        <v>3.1222040153221376E-3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0.6649936072918694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0.17959075379188749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2.633299390705518E-2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0.40159868428780271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1.3977983162752997E-4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1.2654061386404783E-2</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174.92502747246303</v>
      </c>
      <c r="C14" s="21"/>
      <c r="D14" s="21">
        <f t="shared" ref="D14:M14" si="0">((D5)*10^9/3600)+D12</f>
        <v>383.13615345006491</v>
      </c>
      <c r="E14" s="21">
        <f t="shared" si="0"/>
        <v>1660.254978697933</v>
      </c>
      <c r="F14" s="21"/>
      <c r="G14" s="21">
        <f t="shared" si="0"/>
        <v>538907.79421159124</v>
      </c>
      <c r="H14" s="21">
        <f t="shared" si="0"/>
        <v>105266.74280272609</v>
      </c>
      <c r="I14" s="21"/>
      <c r="J14" s="21"/>
      <c r="K14" s="21"/>
      <c r="L14" s="21"/>
      <c r="M14" s="21">
        <f t="shared" si="0"/>
        <v>20132.227676397451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0.21497116704784469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37.603837301631671</v>
      </c>
      <c r="C18" s="23"/>
      <c r="D18" s="23">
        <f t="shared" ref="D18:M18" si="1">D14*D16</f>
        <v>77.393502996913114</v>
      </c>
      <c r="E18" s="23">
        <f t="shared" si="1"/>
        <v>376.87788016443079</v>
      </c>
      <c r="F18" s="23"/>
      <c r="G18" s="23">
        <f t="shared" si="1"/>
        <v>143888.38105449488</v>
      </c>
      <c r="H18" s="23">
        <f t="shared" si="1"/>
        <v>26211.418957878795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3.8990839626386484E-2</v>
      </c>
      <c r="H50" s="321">
        <f t="shared" si="2"/>
        <v>0</v>
      </c>
      <c r="I50" s="321">
        <f t="shared" si="2"/>
        <v>0</v>
      </c>
      <c r="J50" s="321">
        <f t="shared" si="2"/>
        <v>0</v>
      </c>
      <c r="K50" s="321">
        <f t="shared" si="2"/>
        <v>0</v>
      </c>
      <c r="L50" s="321">
        <f t="shared" si="2"/>
        <v>0</v>
      </c>
      <c r="M50" s="321">
        <f t="shared" si="2"/>
        <v>1.2094086156024953E-3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3.8990839626386484E-2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1.2094086156024953E-3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10830.788785107357</v>
      </c>
      <c r="H54" s="21">
        <f t="shared" si="3"/>
        <v>0</v>
      </c>
      <c r="I54" s="21">
        <f t="shared" si="3"/>
        <v>0</v>
      </c>
      <c r="J54" s="21">
        <f t="shared" si="3"/>
        <v>0</v>
      </c>
      <c r="K54" s="21">
        <f t="shared" si="3"/>
        <v>0</v>
      </c>
      <c r="L54" s="21">
        <f t="shared" si="3"/>
        <v>0</v>
      </c>
      <c r="M54" s="21">
        <f t="shared" si="3"/>
        <v>335.94683766735983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0.21497116704784469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2891.8206056236645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181.95266272189349</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13957.226226721137</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14139.17888944303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2019-01-01T21:24:07Z</dcterms:modified>
</cp:coreProperties>
</file>