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L6" i="17" s="1"/>
  <c r="L5" s="1"/>
  <c r="S60" i="18"/>
  <c r="F6" i="17" s="1"/>
  <c r="R60" i="18"/>
  <c r="Q60"/>
  <c r="P60"/>
  <c r="D6" i="17" s="1"/>
  <c r="O60" i="18"/>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16" i="16" l="1"/>
  <c r="L18" s="1"/>
  <c r="M13" i="14" s="1"/>
  <c r="D8" i="17"/>
  <c r="N16" i="16"/>
  <c r="B8" i="9"/>
  <c r="B6" i="48" s="1"/>
  <c r="Q6" s="1"/>
  <c r="C16" i="15"/>
  <c r="D10" i="14"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P22" i="16"/>
  <c r="Q39" i="14" s="1"/>
  <c r="P8" i="48"/>
  <c r="P25" s="1"/>
  <c r="J15" i="14"/>
  <c r="J23" s="1"/>
  <c r="E8" i="17"/>
  <c r="F22" i="14" s="1"/>
  <c r="O18" i="16"/>
  <c r="O22" s="1"/>
  <c r="P39"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L53" i="14"/>
  <c r="F5" i="15"/>
  <c r="F16" s="1"/>
  <c r="B5"/>
  <c r="B16" s="1"/>
  <c r="B5" i="16"/>
  <c r="B18" s="1"/>
  <c r="C13" i="14" s="1"/>
  <c r="N5" i="15"/>
  <c r="N16" s="1"/>
  <c r="F12" i="13"/>
  <c r="G37" i="14" s="1"/>
  <c r="P5" i="48"/>
  <c r="P22" s="1"/>
  <c r="F13" i="16"/>
  <c r="E13"/>
  <c r="N13"/>
  <c r="J13"/>
  <c r="B47" i="13"/>
  <c r="N12" i="16"/>
  <c r="J12"/>
  <c r="F12"/>
  <c r="E12"/>
  <c r="Q11" i="48"/>
  <c r="O5"/>
  <c r="R9" i="14"/>
  <c r="O28" i="48"/>
  <c r="H22"/>
  <c r="K31"/>
  <c r="B48" i="13"/>
  <c r="C48" s="1"/>
  <c r="N5" s="1"/>
  <c r="N8" s="1"/>
  <c r="N4" i="48" s="1"/>
  <c r="N21" s="1"/>
  <c r="M25"/>
  <c r="M24"/>
  <c r="I31"/>
  <c r="C50" i="13"/>
  <c r="J5" s="1"/>
  <c r="J8" s="1"/>
  <c r="C5" i="48"/>
  <c r="P31" l="1"/>
  <c r="H14" i="22"/>
  <c r="E12" i="17"/>
  <c r="F48" i="14" s="1"/>
  <c r="P41"/>
  <c r="P53" s="1"/>
  <c r="E7" i="48"/>
  <c r="E24" s="1"/>
  <c r="E13" i="14"/>
  <c r="N7" i="48"/>
  <c r="N24" s="1"/>
  <c r="D8"/>
  <c r="D25" s="1"/>
  <c r="E16" i="15"/>
  <c r="F10" i="14" s="1"/>
  <c r="J16" i="15"/>
  <c r="K10" i="14"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P55" i="14"/>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F8" i="48"/>
  <c r="Q4"/>
  <c r="N22"/>
  <c r="R11" i="14"/>
  <c r="J21" i="48"/>
  <c r="R10" i="14"/>
  <c r="F22" i="16" l="1"/>
  <c r="G39" i="14" s="1"/>
  <c r="G41" s="1"/>
  <c r="N22" i="16"/>
  <c r="O39" i="14" s="1"/>
  <c r="O41" s="1"/>
  <c r="F13"/>
  <c r="F15" s="1"/>
  <c r="F23" s="1"/>
  <c r="F55" s="1"/>
  <c r="J8" i="48"/>
  <c r="J25" s="1"/>
  <c r="O13" i="14"/>
  <c r="O15" s="1"/>
  <c r="N55"/>
  <c r="Q5" i="48"/>
  <c r="N25"/>
  <c r="N31" s="1"/>
  <c r="N14"/>
  <c r="E25"/>
  <c r="E31" s="1"/>
  <c r="E14"/>
  <c r="K13" i="14"/>
  <c r="K15" s="1"/>
  <c r="K23" s="1"/>
  <c r="H55"/>
  <c r="E55"/>
  <c r="C78"/>
  <c r="C81" s="1"/>
  <c r="J14" i="48"/>
  <c r="J31"/>
  <c r="Q8"/>
  <c r="R19" i="14"/>
  <c r="R20" s="1"/>
  <c r="H14" i="48"/>
  <c r="G31"/>
  <c r="H26"/>
  <c r="H31" s="1"/>
  <c r="O53" i="14"/>
  <c r="G53"/>
  <c r="G55" s="1"/>
  <c r="O69" s="1"/>
  <c r="B9" i="6" s="1"/>
  <c r="B12" s="1"/>
  <c r="M53" i="14"/>
  <c r="M55" s="1"/>
  <c r="C12" i="13"/>
  <c r="D37" i="14" s="1"/>
  <c r="D41" s="1"/>
  <c r="C24" i="48"/>
  <c r="C28"/>
  <c r="C22"/>
  <c r="C25"/>
  <c r="C21"/>
  <c r="K55" i="14"/>
  <c r="R13"/>
  <c r="R15" s="1"/>
  <c r="F25" i="48"/>
  <c r="F31" s="1"/>
  <c r="F14"/>
  <c r="Q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<sst xmlns="http://schemas.openxmlformats.org/spreadsheetml/2006/main" count="2111" uniqueCount="855">
  <si>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</si>
  <si>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</si>
  <si>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</si>
  <si>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</si>
  <si>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</si>
  <si>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</si>
  <si>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</si>
  <si>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</si>
  <si>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</si>
  <si>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</si>
  <si>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</si>
  <si>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</si>
  <si>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</si>
  <si>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</si>
  <si>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</si>
  <si>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</si>
  <si>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</si>
  <si>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</si>
  <si>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</si>
  <si>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</si>
  <si>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</si>
  <si>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</si>
  <si>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</si>
  <si>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</si>
  <si>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</si>
  <si>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</si>
  <si>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</si>
  <si>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</si>
  <si>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</si>
  <si>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</si>
  <si>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</si>
  <si>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</si>
  <si>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</si>
  <si>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</si>
  <si>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</si>
  <si>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</si>
  <si>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</si>
  <si>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</si>
  <si>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</si>
  <si>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</si>
  <si>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</si>
  <si>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</si>
  <si>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</si>
  <si>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</si>
  <si>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</si>
  <si>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</si>
  <si>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</si>
  <si>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</si>
  <si>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</si>
  <si>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</si>
  <si>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</si>
  <si>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</si>
  <si>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</si>
  <si>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</si>
  <si>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</si>
  <si>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</si>
  <si>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</si>
  <si>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</si>
  <si>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</si>
  <si>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</si>
  <si>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</si>
  <si>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</si>
  <si>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</si>
  <si>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</si>
  <si>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</si>
  <si>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</si>
  <si>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</si>
  <si>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</si>
  <si>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</si>
  <si>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</si>
  <si>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</si>
  <si>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</si>
  <si>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</si>
  <si>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</si>
  <si>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</si>
  <si>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</si>
  <si>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</si>
  <si>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</si>
  <si>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</si>
  <si>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</si>
  <si>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</si>
  <si>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</si>
  <si>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</si>
  <si>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</si>
  <si>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</si>
  <si>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</si>
  <si>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</si>
  <si>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</si>
  <si>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</si>
  <si>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</si>
  <si>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</si>
  <si>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</si>
  <si>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</si>
  <si>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</si>
  <si>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</si>
  <si>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</si>
  <si>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</si>
  <si>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</si>
  <si>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</si>
  <si>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</si>
  <si>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</si>
  <si>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</si>
  <si>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</si>
  <si>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</si>
  <si>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</si>
  <si>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</si>
  <si>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</si>
  <si>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</si>
  <si>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</si>
  <si>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</si>
  <si>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</si>
  <si>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</si>
  <si>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</si>
  <si>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</si>
  <si>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</si>
  <si>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</si>
  <si>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</si>
  <si>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</si>
  <si>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</si>
  <si>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</si>
  <si>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</si>
  <si>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</si>
  <si>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</si>
  <si>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</si>
  <si>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</si>
  <si>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</si>
  <si>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</si>
  <si>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</si>
  <si>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</si>
  <si>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</si>
  <si>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</si>
  <si>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</si>
  <si>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</si>
  <si>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</si>
  <si>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</si>
  <si>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</si>
  <si>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</si>
  <si>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</si>
  <si>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</si>
  <si>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</si>
  <si>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</si>
  <si>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</si>
  <si>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</si>
  <si>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</si>
  <si>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</si>
  <si>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</si>
  <si>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</si>
  <si>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</si>
  <si>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</si>
  <si>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</si>
  <si>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</si>
  <si>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</si>
  <si>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</si>
  <si>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</si>
  <si>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</si>
  <si>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</si>
  <si>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</si>
  <si>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</si>
  <si>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</si>
  <si>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</si>
  <si>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</si>
  <si>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</si>
  <si>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</si>
  <si>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</si>
  <si>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</si>
  <si>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</si>
  <si>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</si>
  <si>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</si>
  <si>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</si>
  <si>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</si>
  <si>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</si>
  <si>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</si>
  <si>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</si>
  <si>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</si>
  <si>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</si>
  <si>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</si>
  <si>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</si>
  <si>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</si>
  <si>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</si>
  <si>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</si>
  <si>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</si>
  <si>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</si>
  <si>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</si>
  <si>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</si>
  <si>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</si>
  <si>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</si>
  <si>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</si>
  <si>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</si>
  <si>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</si>
  <si>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</si>
  <si>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</si>
  <si>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</si>
  <si>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</si>
  <si>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</si>
  <si>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</si>
  <si>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</si>
  <si>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</si>
  <si>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</si>
  <si>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</si>
  <si>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</si>
  <si>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</si>
  <si>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</si>
  <si>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</si>
  <si>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</si>
  <si>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</si>
  <si>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</si>
  <si>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</si>
  <si>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</si>
  <si>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</si>
  <si>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</si>
  <si>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</si>
  <si>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</si>
  <si>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</si>
  <si>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</si>
  <si>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</si>
  <si>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</si>
  <si>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</si>
  <si>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</si>
  <si>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</si>
  <si>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</si>
  <si>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</si>
  <si>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</si>
  <si>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</si>
  <si>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</si>
  <si>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</si>
  <si>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</si>
  <si>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</si>
  <si>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</si>
  <si>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</si>
  <si>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</si>
  <si>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</si>
  <si>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</si>
  <si>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</si>
  <si>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</si>
  <si>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</si>
  <si>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</si>
  <si>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</si>
  <si>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</si>
  <si>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</si>
  <si>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</si>
  <si>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</si>
  <si>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</si>
  <si>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</si>
  <si>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</si>
  <si>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</si>
  <si>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</si>
  <si>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</si>
  <si>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</si>
  <si>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</si>
  <si>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</si>
  <si>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</si>
  <si>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</si>
  <si>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</si>
  <si>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</si>
  <si>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</si>
  <si>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</si>
  <si>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</si>
  <si>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</si>
  <si>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</si>
  <si>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</si>
  <si>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</si>
  <si>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</si>
  <si>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</si>
  <si>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</si>
  <si>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</si>
  <si>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</si>
  <si>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</si>
  <si>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</si>
  <si>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</si>
  <si>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</si>
  <si>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</si>
  <si>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</si>
  <si>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</si>
  <si>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</si>
  <si>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</si>
  <si>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</si>
  <si>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</si>
  <si>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</si>
  <si>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</si>
  <si>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</si>
  <si>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</si>
  <si>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</si>
  <si>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</si>
  <si>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</si>
  <si>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</si>
  <si>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</si>
  <si>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</si>
  <si>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</si>
  <si>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</si>
  <si>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</si>
  <si>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</si>
  <si>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</si>
  <si>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</si>
  <si>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</si>
  <si>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</si>
  <si>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</si>
  <si>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</si>
  <si>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</si>
  <si>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</si>
  <si>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</si>
  <si>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</si>
  <si>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</si>
  <si>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</si>
  <si>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</si>
  <si>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</si>
  <si>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</si>
  <si>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</si>
  <si>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</si>
  <si>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</si>
  <si>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</si>
  <si>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</si>
  <si>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</si>
  <si>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</si>
  <si>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</si>
  <si>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</si>
  <si>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</si>
  <si>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</si>
  <si>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</si>
  <si>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</si>
  <si>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</si>
  <si>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</si>
  <si>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</si>
  <si>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</si>
  <si>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</si>
  <si>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</si>
  <si>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</si>
  <si>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</si>
  <si>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</si>
  <si>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</si>
  <si>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</si>
  <si>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</si>
  <si>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</si>
  <si>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</si>
  <si>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</si>
  <si>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</si>
  <si>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</si>
  <si>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</si>
  <si>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</si>
  <si>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</si>
  <si>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</si>
  <si>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</si>
  <si>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</si>
  <si>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</si>
  <si>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</si>
  <si>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</si>
  <si>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</si>
  <si>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</si>
  <si>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</si>
  <si>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</si>
  <si>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</si>
  <si>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</si>
  <si>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</si>
  <si>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</si>
  <si>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</si>
  <si>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</si>
  <si>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</si>
  <si>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</si>
  <si>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</si>
  <si>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</si>
  <si>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</si>
  <si>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</si>
  <si>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</si>
  <si>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</si>
  <si>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</si>
  <si>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</si>
  <si>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</si>
  <si>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</si>
  <si>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</si>
  <si>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</si>
  <si>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</si>
  <si>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</si>
  <si>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</si>
  <si>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</si>
  <si>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</si>
  <si>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</si>
  <si>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</si>
  <si>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</si>
  <si>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</si>
  <si>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</si>
  <si>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</si>
  <si>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</si>
  <si>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</si>
  <si>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</si>
  <si>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</si>
  <si>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</si>
  <si>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</si>
  <si>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</si>
  <si>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</si>
  <si>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</si>
  <si>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</si>
  <si>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</si>
  <si>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</si>
  <si>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</si>
  <si>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</si>
  <si>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</si>
  <si>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</si>
  <si>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</si>
  <si>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</si>
  <si>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</si>
  <si>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</si>
  <si>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</si>
  <si>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</si>
  <si>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</si>
  <si>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</si>
  <si>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</si>
  <si>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</si>
  <si>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</si>
  <si>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</si>
  <si>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</si>
  <si>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</si>
  <si>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</si>
  <si>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</si>
  <si>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</si>
  <si>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</si>
  <si>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</si>
  <si>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</si>
  <si>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</si>
  <si>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</si>
  <si>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</si>
  <si>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</si>
  <si>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</si>
  <si>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</si>
  <si>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</si>
  <si>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</si>
  <si>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</si>
  <si>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</si>
  <si>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</si>
  <si>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</si>
  <si>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</si>
  <si>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</si>
  <si>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</si>
  <si>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</si>
  <si>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</si>
  <si>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</si>
  <si>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</si>
  <si>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</si>
  <si>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</si>
  <si>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</si>
  <si>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</si>
  <si>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</si>
  <si>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</si>
  <si>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</si>
  <si>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</si>
  <si>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</si>
  <si>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</si>
  <si>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</si>
  <si>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</si>
  <si>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</si>
  <si>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</si>
  <si>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</si>
  <si>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</si>
  <si>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</si>
  <si>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</si>
  <si>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</si>
  <si>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</si>
  <si>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</si>
  <si>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</si>
  <si>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</si>
  <si>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</si>
  <si>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</si>
  <si>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</si>
  <si>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</si>
  <si>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</si>
  <si>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</si>
  <si>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</si>
  <si>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</si>
  <si>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</si>
  <si>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</si>
  <si>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</si>
  <si>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</si>
  <si>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</si>
  <si>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</si>
  <si>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</si>
  <si>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</si>
  <si>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</si>
  <si>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</si>
  <si>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</si>
  <si>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</si>
  <si>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</si>
  <si>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</si>
  <si>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</si>
  <si>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</si>
  <si>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</si>
  <si>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</si>
  <si>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</si>
  <si>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</si>
  <si>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</si>
  <si>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</si>
  <si>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</si>
  <si>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</si>
  <si>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</si>
  <si>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</si>
  <si>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</si>
  <si>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</si>
  <si>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</si>
  <si>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</si>
  <si>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</si>
  <si>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</si>
  <si>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</si>
  <si>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</si>
  <si>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</si>
  <si>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</si>
  <si>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</si>
  <si>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</si>
  <si>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</si>
  <si>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</si>
  <si>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</si>
  <si>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</si>
  <si>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</si>
  <si>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</si>
  <si>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</si>
  <si>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</si>
  <si>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</si>
  <si>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</si>
  <si>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</si>
  <si>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</si>
  <si>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</si>
  <si>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</si>
  <si>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</si>
  <si>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</si>
  <si>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</si>
  <si>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</si>
  <si>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</si>
  <si>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</si>
  <si>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</si>
  <si>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</si>
  <si>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</si>
  <si>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</si>
  <si>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</si>
  <si>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</si>
  <si>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</si>
  <si>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</si>
  <si>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</si>
  <si>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</si>
  <si>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</si>
  <si>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</si>
  <si>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</si>
  <si>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</si>
  <si>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</si>
  <si>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</si>
  <si>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</si>
  <si>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</si>
  <si>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</si>
  <si>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</si>
  <si>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</si>
  <si>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</si>
  <si>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</si>
  <si>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</si>
  <si>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</si>
  <si>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</si>
  <si>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</si>
  <si>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</si>
  <si>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</si>
  <si>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</si>
  <si>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</si>
  <si>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</si>
  <si>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</si>
  <si>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</si>
  <si>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</si>
  <si>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</si>
  <si>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</si>
  <si>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</si>
  <si>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</si>
  <si>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</si>
  <si>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</si>
  <si>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</si>
  <si>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</si>
  <si>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</si>
  <si>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</si>
  <si>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</si>
  <si>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</si>
  <si>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</si>
  <si>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</si>
  <si>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</si>
  <si>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</si>
  <si>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</si>
  <si>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</si>
  <si>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</si>
  <si>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</si>
  <si>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</si>
  <si>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</si>
  <si>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</si>
  <si>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</si>
  <si>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</si>
  <si>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</si>
  <si>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</si>
  <si>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</si>
  <si>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</si>
  <si>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</si>
  <si>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</si>
  <si>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</si>
  <si>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</si>
  <si>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</si>
  <si>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</si>
  <si>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</si>
  <si>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</si>
  <si>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</si>
  <si>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</si>
  <si>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</si>
  <si>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</si>
  <si>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</si>
  <si>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</si>
  <si>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</si>
  <si>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</si>
  <si>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</si>
  <si>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</si>
  <si>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</si>
  <si>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</si>
  <si>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</si>
  <si>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</si>
  <si>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</si>
  <si>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</si>
  <si>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</si>
  <si>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</si>
  <si>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</si>
  <si>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</si>
  <si>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</si>
  <si>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</si>
  <si>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</si>
  <si>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</si>
  <si>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</si>
  <si>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</si>
  <si>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</si>
  <si>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</si>
  <si>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</si>
  <si>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</si>
  <si>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</si>
  <si>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</si>
  <si>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</si>
  <si>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</si>
  <si>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</si>
  <si>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</si>
  <si>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</si>
  <si>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</si>
  <si>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</si>
  <si>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</si>
  <si>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</si>
  <si>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</si>
  <si>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</si>
  <si>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</si>
  <si>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</si>
  <si>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</si>
  <si>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</si>
  <si>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</si>
  <si>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</si>
  <si>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</si>
  <si>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</si>
  <si>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</si>
  <si>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</si>
  <si>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</si>
  <si>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</si>
  <si>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</si>
  <si>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</si>
  <si>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</si>
  <si>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</si>
  <si>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</si>
  <si>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</si>
  <si>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</si>
  <si>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</si>
  <si>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</si>
  <si>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</si>
  <si>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</si>
  <si>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</si>
  <si>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</si>
  <si>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</si>
  <si>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</si>
  <si>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</si>
  <si>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</si>
  <si>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</si>
  <si>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</si>
  <si>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</si>
  <si>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</si>
  <si>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</si>
  <si>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</si>
  <si>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</si>
  <si>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</si>
  <si>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</si>
  <si>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</si>
  <si>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</si>
  <si>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</si>
  <si>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</si>
  <si>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</si>
  <si>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</si>
  <si>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</si>
  <si>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</si>
  <si>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</si>
  <si>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</si>
  <si>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</si>
  <si>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</si>
  <si>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</si>
  <si>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</si>
  <si>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</si>
  <si>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</si>
  <si>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</si>
  <si>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</si>
  <si>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</si>
  <si>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</si>
  <si>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</si>
  <si>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</si>
  <si>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</si>
  <si>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</si>
  <si>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</si>
  <si>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</si>
  <si>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</si>
  <si>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</si>
  <si>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</si>
  <si>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</si>
  <si>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</si>
  <si>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</si>
  <si>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</si>
  <si>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</si>
  <si>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</si>
  <si>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</si>
  <si>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</si>
  <si>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</si>
  <si>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</si>
  <si>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</si>
  <si>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</si>
  <si>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</si>
  <si>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</si>
  <si>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</si>
  <si>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</si>
  <si>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</si>
  <si>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</si>
  <si>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</si>
  <si>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</si>
  <si>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</si>
  <si>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</si>
  <si>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</si>
  <si>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</si>
  <si>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</si>
  <si>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</si>
  <si>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</si>
  <si>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</si>
  <si>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</si>
  <si>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</si>
  <si>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</si>
  <si>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</si>
  <si>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</si>
  <si>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</si>
  <si>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</si>
  <si>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</si>
  <si>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</si>
  <si>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</si>
  <si>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</si>
  <si>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</si>
  <si>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</si>
  <si>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</si>
  <si>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</si>
  <si>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</si>
  <si>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</si>
  <si>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</si>
  <si>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</si>
  <si>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</si>
  <si>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</si>
  <si>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</si>
  <si>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</si>
  <si>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</si>
  <si>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</si>
  <si>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</si>
  <si>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</si>
  <si>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</si>
  <si>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</si>
  <si>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</si>
  <si>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</si>
  <si>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</si>
  <si>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</si>
  <si>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</si>
  <si>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</si>
  <si>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</si>
  <si>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</si>
  <si>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</si>
  <si>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</si>
  <si>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</si>
  <si>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</si>
  <si>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</si>
  <si>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</si>
  <si>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</si>
  <si>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</si>
  <si>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</si>
  <si>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</si>
  <si>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</si>
  <si>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</si>
  <si>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</si>
  <si>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</si>
  <si>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</si>
  <si>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</si>
  <si>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</si>
  <si>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</si>
  <si>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</si>
  <si>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</si>
  <si>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</si>
  <si>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</si>
  <si>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</si>
  <si>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</si>
  <si>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</si>
  <si>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</si>
  <si>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</si>
  <si>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</si>
  <si>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</si>
  <si>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</si>
  <si>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</si>
  <si>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</si>
  <si>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</si>
  <si>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</si>
  <si>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</si>
  <si>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</si>
  <si>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</si>
  <si>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</si>
  <si>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</si>
  <si>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</si>
  <si>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</si>
  <si>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</si>
  <si>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</si>
  <si>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</si>
  <si>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</si>
  <si>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</si>
  <si>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</si>
  <si>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</si>
  <si>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</si>
  <si>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</si>
  <si>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</si>
  <si>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</si>
  <si>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</si>
  <si>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</si>
  <si>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</si>
  <si>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</si>
  <si>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</si>
  <si>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</si>
  <si>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</si>
  <si>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</si>
  <si>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</si>
  <si>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</si>
  <si>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</si>
  <si>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</si>
  <si>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</si>
  <si>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</si>
  <si>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</si>
  <si>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</si>
  <si>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</si>
  <si>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</si>
  <si>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</si>
  <si>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</si>
  <si>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</si>
  <si>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</si>
  <si>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</si>
  <si>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</si>
  <si>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12014</t>
  </si>
  <si>
    <t>HEIST-OP-DEN-BERG</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</si>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</sst>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357345.59554105758</c:v>
                </c:pt>
                <c:pt idx="1">
                  <c:v>119465.4292195583</c:v>
                </c:pt>
                <c:pt idx="2">
                  <c:v>2779.511</c:v>
                </c:pt>
                <c:pt idx="3">
                  <c:v>15271.219954450678</c:v>
                </c:pt>
                <c:pt idx="4">
                  <c:v>124703.16237167301</c:v>
                </c:pt>
                <c:pt idx="5">
                  <c:v>190955.8728631718</c:v>
                </c:pt>
                <c:pt idx="6">
                  <c:v>2704.130302051899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4094080"/>
        <c:axId val="184108160"/>
      </c:barChart>
      <c:catAx>
        <c:axId val="184094080"/>
        <c:scaling>
          <c:orientation val="minMax"/>
        </c:scaling>
        <c:axPos val="b"/>
        <c:numFmt formatCode="General" sourceLinked="0"/>
        <c:tickLblPos val="nextTo"/>
        <c:crossAx val="184108160"/>
        <c:crosses val="autoZero"/>
        <c:auto val="1"/>
        <c:lblAlgn val="ctr"/>
        <c:lblOffset val="100"/>
      </c:catAx>
      <c:valAx>
        <c:axId val="184108160"/>
        <c:scaling>
          <c:orientation val="minMax"/>
        </c:scaling>
        <c:axPos val="l"/>
        <c:majorGridlines/>
        <c:numFmt formatCode="#,##0" sourceLinked="1"/>
        <c:tickLblPos val="nextTo"/>
        <c:crossAx val="184094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357345.59554105758</c:v>
                </c:pt>
                <c:pt idx="1">
                  <c:v>119465.4292195583</c:v>
                </c:pt>
                <c:pt idx="2">
                  <c:v>2779.511</c:v>
                </c:pt>
                <c:pt idx="3">
                  <c:v>15271.219954450678</c:v>
                </c:pt>
                <c:pt idx="4">
                  <c:v>124703.16237167301</c:v>
                </c:pt>
                <c:pt idx="5">
                  <c:v>190955.8728631718</c:v>
                </c:pt>
                <c:pt idx="6">
                  <c:v>2704.130302051899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71331.803581511369</c:v>
                </c:pt>
                <c:pt idx="1">
                  <c:v>24131.087828986248</c:v>
                </c:pt>
                <c:pt idx="2">
                  <c:v>571.8562461660664</c:v>
                </c:pt>
                <c:pt idx="3">
                  <c:v>3590.2426144375136</c:v>
                </c:pt>
                <c:pt idx="4">
                  <c:v>24896.978390902445</c:v>
                </c:pt>
                <c:pt idx="5">
                  <c:v>48762.901485922986</c:v>
                </c:pt>
                <c:pt idx="6">
                  <c:v>700.28162140924246</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445184"/>
        <c:axId val="184557568"/>
      </c:barChart>
      <c:catAx>
        <c:axId val="184445184"/>
        <c:scaling>
          <c:orientation val="minMax"/>
        </c:scaling>
        <c:axPos val="b"/>
        <c:numFmt formatCode="General" sourceLinked="0"/>
        <c:tickLblPos val="nextTo"/>
        <c:crossAx val="184557568"/>
        <c:crosses val="autoZero"/>
        <c:auto val="1"/>
        <c:lblAlgn val="ctr"/>
        <c:lblOffset val="100"/>
      </c:catAx>
      <c:valAx>
        <c:axId val="184557568"/>
        <c:scaling>
          <c:orientation val="minMax"/>
        </c:scaling>
        <c:axPos val="l"/>
        <c:majorGridlines/>
        <c:numFmt formatCode="#,##0" sourceLinked="1"/>
        <c:tickLblPos val="nextTo"/>
        <c:crossAx val="184445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71331.803581511369</c:v>
                </c:pt>
                <c:pt idx="1">
                  <c:v>24131.087828986248</c:v>
                </c:pt>
                <c:pt idx="2">
                  <c:v>571.8562461660664</c:v>
                </c:pt>
                <c:pt idx="3">
                  <c:v>3590.2426144375136</c:v>
                </c:pt>
                <c:pt idx="4">
                  <c:v>24896.978390902445</c:v>
                </c:pt>
                <c:pt idx="5">
                  <c:v>48762.901485922986</c:v>
                </c:pt>
                <c:pt idx="6">
                  <c:v>700.28162140924246</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12014</v>
      </c>
      <c r="B6" s="415"/>
      <c r="C6" s="416"/>
    </row>
    <row r="7" spans="1:7" s="413" customFormat="1" ht="15.75" customHeight="1">
      <c r="A7" s="417" t="str">
        <f>txtMunicipality</f>
        <v>HEIST-OP-DEN-BERG</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12014</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17626</v>
      </c>
      <c r="C9" s="342">
        <v>18634</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3484.04</v>
      </c>
    </row>
    <row r="15" spans="1:6">
      <c r="A15" s="348" t="s">
        <v>184</v>
      </c>
      <c r="B15" s="334">
        <v>969</v>
      </c>
    </row>
    <row r="16" spans="1:6">
      <c r="A16" s="348" t="s">
        <v>6</v>
      </c>
      <c r="B16" s="334">
        <v>1342</v>
      </c>
    </row>
    <row r="17" spans="1:6">
      <c r="A17" s="348" t="s">
        <v>7</v>
      </c>
      <c r="B17" s="334">
        <v>632</v>
      </c>
    </row>
    <row r="18" spans="1:6">
      <c r="A18" s="348" t="s">
        <v>8</v>
      </c>
      <c r="B18" s="334">
        <v>1325</v>
      </c>
    </row>
    <row r="19" spans="1:6">
      <c r="A19" s="348" t="s">
        <v>9</v>
      </c>
      <c r="B19" s="334">
        <v>1239</v>
      </c>
    </row>
    <row r="20" spans="1:6">
      <c r="A20" s="348" t="s">
        <v>10</v>
      </c>
      <c r="B20" s="334">
        <v>982</v>
      </c>
    </row>
    <row r="21" spans="1:6">
      <c r="A21" s="348" t="s">
        <v>11</v>
      </c>
      <c r="B21" s="334">
        <v>637</v>
      </c>
    </row>
    <row r="22" spans="1:6">
      <c r="A22" s="348" t="s">
        <v>12</v>
      </c>
      <c r="B22" s="334">
        <v>2100</v>
      </c>
    </row>
    <row r="23" spans="1:6">
      <c r="A23" s="348" t="s">
        <v>13</v>
      </c>
      <c r="B23" s="334">
        <v>29</v>
      </c>
    </row>
    <row r="24" spans="1:6">
      <c r="A24" s="348" t="s">
        <v>14</v>
      </c>
      <c r="B24" s="334">
        <v>2</v>
      </c>
    </row>
    <row r="25" spans="1:6">
      <c r="A25" s="348" t="s">
        <v>15</v>
      </c>
      <c r="B25" s="334">
        <v>265</v>
      </c>
    </row>
    <row r="26" spans="1:6">
      <c r="A26" s="348" t="s">
        <v>16</v>
      </c>
      <c r="B26" s="334">
        <v>207</v>
      </c>
    </row>
    <row r="27" spans="1:6">
      <c r="A27" s="348" t="s">
        <v>17</v>
      </c>
      <c r="B27" s="334">
        <v>137</v>
      </c>
    </row>
    <row r="28" spans="1:6" s="356" customFormat="1">
      <c r="A28" s="355" t="s">
        <v>18</v>
      </c>
      <c r="B28" s="355">
        <v>0</v>
      </c>
    </row>
    <row r="29" spans="1:6">
      <c r="A29" s="355" t="s">
        <v>849</v>
      </c>
      <c r="B29" s="355">
        <v>278</v>
      </c>
      <c r="C29" s="356"/>
      <c r="D29" s="356"/>
      <c r="E29" s="356"/>
      <c r="F29" s="356"/>
    </row>
    <row r="30" spans="1:6">
      <c r="A30" s="355" t="s">
        <v>850</v>
      </c>
      <c r="B30" s="341">
        <v>63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16602.872224999999</v>
      </c>
    </row>
    <row r="37" spans="1:6">
      <c r="A37" s="348" t="s">
        <v>25</v>
      </c>
      <c r="B37" s="348" t="s">
        <v>28</v>
      </c>
      <c r="C37" s="334">
        <v>0</v>
      </c>
      <c r="D37" s="334">
        <v>0</v>
      </c>
      <c r="E37" s="334">
        <v>0</v>
      </c>
      <c r="F37" s="334">
        <v>0</v>
      </c>
    </row>
    <row r="38" spans="1:6">
      <c r="A38" s="348" t="s">
        <v>25</v>
      </c>
      <c r="B38" s="348" t="s">
        <v>29</v>
      </c>
      <c r="C38" s="334">
        <v>4</v>
      </c>
      <c r="D38" s="334">
        <v>386840.72042999999</v>
      </c>
      <c r="E38" s="334">
        <v>4</v>
      </c>
      <c r="F38" s="334">
        <v>30087.257674</v>
      </c>
    </row>
    <row r="39" spans="1:6">
      <c r="A39" s="348" t="s">
        <v>30</v>
      </c>
      <c r="B39" s="348" t="s">
        <v>31</v>
      </c>
      <c r="C39" s="334">
        <v>9597</v>
      </c>
      <c r="D39" s="334">
        <v>147368670.78999999</v>
      </c>
      <c r="E39" s="334">
        <v>17580</v>
      </c>
      <c r="F39" s="334">
        <v>64659666.602330998</v>
      </c>
    </row>
    <row r="40" spans="1:6">
      <c r="A40" s="348" t="s">
        <v>30</v>
      </c>
      <c r="B40" s="348" t="s">
        <v>29</v>
      </c>
      <c r="C40" s="334">
        <v>1</v>
      </c>
      <c r="D40" s="334">
        <v>27938.478204999999</v>
      </c>
      <c r="E40" s="334">
        <v>1</v>
      </c>
      <c r="F40" s="334">
        <v>3077.8805484</v>
      </c>
    </row>
    <row r="41" spans="1:6">
      <c r="A41" s="348" t="s">
        <v>32</v>
      </c>
      <c r="B41" s="348" t="s">
        <v>33</v>
      </c>
      <c r="C41" s="334">
        <v>89</v>
      </c>
      <c r="D41" s="334">
        <v>2229841.3339999998</v>
      </c>
      <c r="E41" s="334">
        <v>332</v>
      </c>
      <c r="F41" s="334">
        <v>18821030.664000001</v>
      </c>
    </row>
    <row r="42" spans="1:6">
      <c r="A42" s="348" t="s">
        <v>32</v>
      </c>
      <c r="B42" s="348" t="s">
        <v>34</v>
      </c>
      <c r="C42" s="334">
        <v>8</v>
      </c>
      <c r="D42" s="334">
        <v>26084889.794</v>
      </c>
      <c r="E42" s="334">
        <v>7</v>
      </c>
      <c r="F42" s="334">
        <v>23113362.793000001</v>
      </c>
    </row>
    <row r="43" spans="1:6">
      <c r="A43" s="348" t="s">
        <v>32</v>
      </c>
      <c r="B43" s="348" t="s">
        <v>35</v>
      </c>
      <c r="C43" s="334">
        <v>0</v>
      </c>
      <c r="D43" s="334">
        <v>0</v>
      </c>
      <c r="E43" s="334">
        <v>0</v>
      </c>
      <c r="F43" s="334">
        <v>0</v>
      </c>
    </row>
    <row r="44" spans="1:6">
      <c r="A44" s="348" t="s">
        <v>32</v>
      </c>
      <c r="B44" s="348" t="s">
        <v>36</v>
      </c>
      <c r="C44" s="334">
        <v>9</v>
      </c>
      <c r="D44" s="334">
        <v>326627.03162999998</v>
      </c>
      <c r="E44" s="334">
        <v>23</v>
      </c>
      <c r="F44" s="334">
        <v>539838.23656999995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7</v>
      </c>
      <c r="F47" s="334">
        <v>294679.40852</v>
      </c>
    </row>
    <row r="48" spans="1:6">
      <c r="A48" s="348" t="s">
        <v>32</v>
      </c>
      <c r="B48" s="348" t="s">
        <v>29</v>
      </c>
      <c r="C48" s="334">
        <v>66</v>
      </c>
      <c r="D48" s="334">
        <v>10898423.358999999</v>
      </c>
      <c r="E48" s="334">
        <v>87</v>
      </c>
      <c r="F48" s="334">
        <v>10410026.338</v>
      </c>
    </row>
    <row r="49" spans="1:6">
      <c r="A49" s="348" t="s">
        <v>32</v>
      </c>
      <c r="B49" s="348" t="s">
        <v>40</v>
      </c>
      <c r="C49" s="334">
        <v>0</v>
      </c>
      <c r="D49" s="334">
        <v>0</v>
      </c>
      <c r="E49" s="334">
        <v>0</v>
      </c>
      <c r="F49" s="334">
        <v>0</v>
      </c>
    </row>
    <row r="50" spans="1:6">
      <c r="A50" s="348" t="s">
        <v>32</v>
      </c>
      <c r="B50" s="348" t="s">
        <v>41</v>
      </c>
      <c r="C50" s="334">
        <v>9</v>
      </c>
      <c r="D50" s="334">
        <v>1064626.8846</v>
      </c>
      <c r="E50" s="334">
        <v>22</v>
      </c>
      <c r="F50" s="334">
        <v>877044.71351999999</v>
      </c>
    </row>
    <row r="51" spans="1:6">
      <c r="A51" s="348" t="s">
        <v>42</v>
      </c>
      <c r="B51" s="348" t="s">
        <v>43</v>
      </c>
      <c r="C51" s="334">
        <v>0</v>
      </c>
      <c r="D51" s="334">
        <v>0</v>
      </c>
      <c r="E51" s="334">
        <v>103</v>
      </c>
      <c r="F51" s="334">
        <v>1607962.2655</v>
      </c>
    </row>
    <row r="52" spans="1:6">
      <c r="A52" s="348" t="s">
        <v>42</v>
      </c>
      <c r="B52" s="348" t="s">
        <v>29</v>
      </c>
      <c r="C52" s="334">
        <v>10</v>
      </c>
      <c r="D52" s="334">
        <v>1349999.1298</v>
      </c>
      <c r="E52" s="334">
        <v>24</v>
      </c>
      <c r="F52" s="334">
        <v>307701.61603999999</v>
      </c>
    </row>
    <row r="53" spans="1:6">
      <c r="A53" s="348" t="s">
        <v>44</v>
      </c>
      <c r="B53" s="348" t="s">
        <v>45</v>
      </c>
      <c r="C53" s="334">
        <v>245</v>
      </c>
      <c r="D53" s="334">
        <v>5333212.6453</v>
      </c>
      <c r="E53" s="334">
        <v>632</v>
      </c>
      <c r="F53" s="334">
        <v>2187608.1516</v>
      </c>
    </row>
    <row r="54" spans="1:6">
      <c r="A54" s="348" t="s">
        <v>46</v>
      </c>
      <c r="B54" s="348" t="s">
        <v>47</v>
      </c>
      <c r="C54" s="334">
        <v>0</v>
      </c>
      <c r="D54" s="334">
        <v>0</v>
      </c>
      <c r="E54" s="334">
        <v>1</v>
      </c>
      <c r="F54" s="334">
        <v>2779511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76</v>
      </c>
      <c r="D57" s="334">
        <v>4770645.6339999996</v>
      </c>
      <c r="E57" s="334">
        <v>161</v>
      </c>
      <c r="F57" s="334">
        <v>4490999.2</v>
      </c>
    </row>
    <row r="58" spans="1:6">
      <c r="A58" s="348" t="s">
        <v>49</v>
      </c>
      <c r="B58" s="348" t="s">
        <v>51</v>
      </c>
      <c r="C58" s="334">
        <v>28</v>
      </c>
      <c r="D58" s="334">
        <v>3421441.5628999998</v>
      </c>
      <c r="E58" s="334">
        <v>63</v>
      </c>
      <c r="F58" s="334">
        <v>1969563.6459999999</v>
      </c>
    </row>
    <row r="59" spans="1:6">
      <c r="A59" s="348" t="s">
        <v>49</v>
      </c>
      <c r="B59" s="348" t="s">
        <v>52</v>
      </c>
      <c r="C59" s="334">
        <v>194</v>
      </c>
      <c r="D59" s="334">
        <v>12523267.966</v>
      </c>
      <c r="E59" s="334">
        <v>481</v>
      </c>
      <c r="F59" s="334">
        <v>14222859.736</v>
      </c>
    </row>
    <row r="60" spans="1:6">
      <c r="A60" s="348" t="s">
        <v>49</v>
      </c>
      <c r="B60" s="348" t="s">
        <v>53</v>
      </c>
      <c r="C60" s="334">
        <v>109</v>
      </c>
      <c r="D60" s="334">
        <v>5073220.0657000002</v>
      </c>
      <c r="E60" s="334">
        <v>184</v>
      </c>
      <c r="F60" s="334">
        <v>3923182.2305000001</v>
      </c>
    </row>
    <row r="61" spans="1:6">
      <c r="A61" s="348" t="s">
        <v>49</v>
      </c>
      <c r="B61" s="348" t="s">
        <v>54</v>
      </c>
      <c r="C61" s="334">
        <v>294</v>
      </c>
      <c r="D61" s="334">
        <v>13797329.963</v>
      </c>
      <c r="E61" s="334">
        <v>746</v>
      </c>
      <c r="F61" s="334">
        <v>8065914.2703999998</v>
      </c>
    </row>
    <row r="62" spans="1:6">
      <c r="A62" s="348" t="s">
        <v>49</v>
      </c>
      <c r="B62" s="348" t="s">
        <v>55</v>
      </c>
      <c r="C62" s="334">
        <v>35</v>
      </c>
      <c r="D62" s="334">
        <v>3815803.3955999999</v>
      </c>
      <c r="E62" s="334">
        <v>35</v>
      </c>
      <c r="F62" s="334">
        <v>895251.92926999996</v>
      </c>
    </row>
    <row r="63" spans="1:6">
      <c r="A63" s="348" t="s">
        <v>49</v>
      </c>
      <c r="B63" s="348" t="s">
        <v>29</v>
      </c>
      <c r="C63" s="334">
        <v>235</v>
      </c>
      <c r="D63" s="334">
        <v>14210237.049000001</v>
      </c>
      <c r="E63" s="334">
        <v>313</v>
      </c>
      <c r="F63" s="334">
        <v>15587427.402000001</v>
      </c>
    </row>
    <row r="64" spans="1:6">
      <c r="A64" s="348" t="s">
        <v>56</v>
      </c>
      <c r="B64" s="348" t="s">
        <v>57</v>
      </c>
      <c r="C64" s="334">
        <v>0</v>
      </c>
      <c r="D64" s="334">
        <v>0</v>
      </c>
      <c r="E64" s="334">
        <v>0</v>
      </c>
      <c r="F64" s="334">
        <v>0</v>
      </c>
    </row>
    <row r="65" spans="1:6">
      <c r="A65" s="348" t="s">
        <v>56</v>
      </c>
      <c r="B65" s="348" t="s">
        <v>29</v>
      </c>
      <c r="C65" s="334">
        <v>4</v>
      </c>
      <c r="D65" s="334">
        <v>121796.17541</v>
      </c>
      <c r="E65" s="334">
        <v>4</v>
      </c>
      <c r="F65" s="334">
        <v>34479.858444999998</v>
      </c>
    </row>
    <row r="66" spans="1:6">
      <c r="A66" s="348" t="s">
        <v>56</v>
      </c>
      <c r="B66" s="348" t="s">
        <v>58</v>
      </c>
      <c r="C66" s="334">
        <v>0</v>
      </c>
      <c r="D66" s="334">
        <v>0</v>
      </c>
      <c r="E66" s="334">
        <v>7</v>
      </c>
      <c r="F66" s="334">
        <v>88406</v>
      </c>
    </row>
    <row r="67" spans="1:6">
      <c r="A67" s="355" t="s">
        <v>56</v>
      </c>
      <c r="B67" s="355" t="s">
        <v>59</v>
      </c>
      <c r="C67" s="334">
        <v>0</v>
      </c>
      <c r="D67" s="334">
        <v>0</v>
      </c>
      <c r="E67" s="334">
        <v>0</v>
      </c>
      <c r="F67" s="334">
        <v>0</v>
      </c>
    </row>
    <row r="68" spans="1:6">
      <c r="A68" s="341" t="s">
        <v>56</v>
      </c>
      <c r="B68" s="341" t="s">
        <v>60</v>
      </c>
      <c r="C68" s="334">
        <v>5</v>
      </c>
      <c r="D68" s="334">
        <v>188734.2157</v>
      </c>
      <c r="E68" s="334">
        <v>39</v>
      </c>
      <c r="F68" s="334">
        <v>700215.16611999995</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206709701</v>
      </c>
      <c r="E73" s="476">
        <v>211725382.5806514</v>
      </c>
    </row>
    <row r="74" spans="1:6">
      <c r="A74" s="348" t="s">
        <v>64</v>
      </c>
      <c r="B74" s="348" t="s">
        <v>667</v>
      </c>
      <c r="C74" s="1271" t="s">
        <v>669</v>
      </c>
      <c r="D74" s="476">
        <v>8543962.7332575135</v>
      </c>
      <c r="E74" s="476">
        <v>8739630.2146463357</v>
      </c>
    </row>
    <row r="75" spans="1:6">
      <c r="A75" s="348" t="s">
        <v>65</v>
      </c>
      <c r="B75" s="348" t="s">
        <v>666</v>
      </c>
      <c r="C75" s="1271" t="s">
        <v>670</v>
      </c>
      <c r="D75" s="476">
        <v>46956244</v>
      </c>
      <c r="E75" s="476">
        <v>47977212.964174509</v>
      </c>
    </row>
    <row r="76" spans="1:6">
      <c r="A76" s="348" t="s">
        <v>65</v>
      </c>
      <c r="B76" s="348" t="s">
        <v>667</v>
      </c>
      <c r="C76" s="1271" t="s">
        <v>671</v>
      </c>
      <c r="D76" s="476">
        <v>1227620.7332575126</v>
      </c>
      <c r="E76" s="476">
        <v>1251852.6743506882</v>
      </c>
    </row>
    <row r="77" spans="1:6">
      <c r="A77" s="348" t="s">
        <v>66</v>
      </c>
      <c r="B77" s="348" t="s">
        <v>666</v>
      </c>
      <c r="C77" s="1271" t="s">
        <v>672</v>
      </c>
      <c r="D77" s="476">
        <v>0</v>
      </c>
      <c r="E77" s="476">
        <v>0</v>
      </c>
    </row>
    <row r="78" spans="1:6">
      <c r="A78" s="341" t="s">
        <v>66</v>
      </c>
      <c r="B78" s="341" t="s">
        <v>667</v>
      </c>
      <c r="C78" s="341" t="s">
        <v>673</v>
      </c>
      <c r="D78" s="1272">
        <v>0</v>
      </c>
      <c r="E78" s="1272">
        <v>0</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726292.53348497464</v>
      </c>
      <c r="C83" s="476">
        <v>726292.53348497464</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0</v>
      </c>
    </row>
    <row r="91" spans="1:6">
      <c r="A91" s="348" t="s">
        <v>68</v>
      </c>
      <c r="B91" s="334">
        <v>8175.8499208243629</v>
      </c>
    </row>
    <row r="92" spans="1:6">
      <c r="A92" s="341" t="s">
        <v>69</v>
      </c>
      <c r="B92" s="342">
        <v>4308.7546188611477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4495</v>
      </c>
    </row>
    <row r="98" spans="1:6">
      <c r="A98" s="348" t="s">
        <v>72</v>
      </c>
      <c r="B98" s="334">
        <v>9</v>
      </c>
    </row>
    <row r="99" spans="1:6">
      <c r="A99" s="348" t="s">
        <v>73</v>
      </c>
      <c r="B99" s="334">
        <v>209</v>
      </c>
    </row>
    <row r="100" spans="1:6">
      <c r="A100" s="348" t="s">
        <v>74</v>
      </c>
      <c r="B100" s="334">
        <v>794</v>
      </c>
    </row>
    <row r="101" spans="1:6">
      <c r="A101" s="348" t="s">
        <v>75</v>
      </c>
      <c r="B101" s="334">
        <v>166</v>
      </c>
    </row>
    <row r="102" spans="1:6">
      <c r="A102" s="348" t="s">
        <v>76</v>
      </c>
      <c r="B102" s="334">
        <v>188</v>
      </c>
    </row>
    <row r="103" spans="1:6">
      <c r="A103" s="348" t="s">
        <v>77</v>
      </c>
      <c r="B103" s="334">
        <v>538</v>
      </c>
    </row>
    <row r="104" spans="1:6">
      <c r="A104" s="348" t="s">
        <v>78</v>
      </c>
      <c r="B104" s="334">
        <v>8528</v>
      </c>
    </row>
    <row r="105" spans="1:6">
      <c r="A105" s="341" t="s">
        <v>79</v>
      </c>
      <c r="B105" s="341">
        <v>13</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74" t="s">
        <v>650</v>
      </c>
      <c r="B111" s="1275">
        <v>0</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68</v>
      </c>
      <c r="C123" s="334">
        <v>69</v>
      </c>
    </row>
    <row r="124" spans="1:6">
      <c r="A124" s="341" t="s">
        <v>89</v>
      </c>
      <c r="B124" s="334">
        <v>1</v>
      </c>
      <c r="C124" s="334">
        <v>6</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310</v>
      </c>
    </row>
    <row r="130" spans="1:6">
      <c r="A130" s="348" t="s">
        <v>295</v>
      </c>
      <c r="B130" s="334">
        <v>6</v>
      </c>
    </row>
    <row r="131" spans="1:6">
      <c r="A131" s="348" t="s">
        <v>296</v>
      </c>
      <c r="B131" s="334">
        <v>2</v>
      </c>
    </row>
    <row r="132" spans="1:6">
      <c r="A132" s="341" t="s">
        <v>297</v>
      </c>
      <c r="B132" s="342">
        <v>64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180804.39272381191</v>
      </c>
      <c r="C3" s="43" t="s">
        <v>170</v>
      </c>
      <c r="D3" s="43"/>
      <c r="E3" s="154"/>
      <c r="F3" s="43"/>
      <c r="G3" s="43"/>
      <c r="H3" s="43"/>
      <c r="I3" s="43"/>
      <c r="J3" s="43"/>
      <c r="K3" s="96"/>
    </row>
    <row r="4" spans="1:11">
      <c r="A4" s="383" t="s">
        <v>171</v>
      </c>
      <c r="B4" s="49">
        <f>IF(ISERROR('SEAP template'!B69),0,'SEAP template'!B69)</f>
        <v>12484.604539685512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0.20573987516727452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2779.511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2779.511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0.20573987516727452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571.8562461660664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64662.744482879403</v>
      </c>
      <c r="C5" s="17">
        <f>IF(ISERROR('Eigen informatie GS &amp; warmtenet'!B57),0,'Eigen informatie GS &amp; warmtenet'!B57)</f>
        <v>0</v>
      </c>
      <c r="D5" s="30">
        <f>(SUM(HH_hh_gas_kWh,HH_rest_gas_kWh)/1000)*0.902</f>
        <v>132951.74155992089</v>
      </c>
      <c r="E5" s="17">
        <f>B46*B57</f>
        <v>15900.007504675148</v>
      </c>
      <c r="F5" s="17">
        <f>B51*B62</f>
        <v>95793.679180219478</v>
      </c>
      <c r="G5" s="18"/>
      <c r="H5" s="17"/>
      <c r="I5" s="17"/>
      <c r="J5" s="17">
        <f>B50*B61+C50*C61</f>
        <v>857.44186934954359</v>
      </c>
      <c r="K5" s="17"/>
      <c r="L5" s="17"/>
      <c r="M5" s="17"/>
      <c r="N5" s="17">
        <f>B48*B59+C48*C59</f>
        <v>35866.381023188784</v>
      </c>
      <c r="O5" s="17">
        <f>B69*B70*B71</f>
        <v>601.88333333333333</v>
      </c>
      <c r="P5" s="17">
        <f>B77*B78*B79/1000-B77*B78*B79/1000/B80</f>
        <v>2535.8666666666668</v>
      </c>
    </row>
    <row r="6" spans="1:16">
      <c r="A6" s="16" t="s">
        <v>624</v>
      </c>
      <c r="B6" s="843">
        <f>kWh_PV_kleiner_dan_10kW</f>
        <v>8175.8499208243629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72838.59440370377</v>
      </c>
      <c r="C8" s="21">
        <f>C5</f>
        <v>0</v>
      </c>
      <c r="D8" s="21">
        <f>D5</f>
        <v>132951.74155992089</v>
      </c>
      <c r="E8" s="21">
        <f>E5</f>
        <v>15900.007504675148</v>
      </c>
      <c r="F8" s="21">
        <f>F5</f>
        <v>95793.679180219478</v>
      </c>
      <c r="G8" s="21"/>
      <c r="H8" s="21"/>
      <c r="I8" s="21"/>
      <c r="J8" s="21">
        <f>J5</f>
        <v>857.44186934954359</v>
      </c>
      <c r="K8" s="21"/>
      <c r="L8" s="21">
        <f>L5</f>
        <v>0</v>
      </c>
      <c r="M8" s="21">
        <f>M5</f>
        <v>0</v>
      </c>
      <c r="N8" s="21">
        <f>N5</f>
        <v>35866.381023188784</v>
      </c>
      <c r="O8" s="21">
        <f>O5</f>
        <v>601.88333333333333</v>
      </c>
      <c r="P8" s="21">
        <f>P5</f>
        <v>2535.8666666666668</v>
      </c>
    </row>
    <row r="9" spans="1:16">
      <c r="B9" s="19"/>
      <c r="C9" s="19"/>
      <c r="D9" s="258"/>
      <c r="E9" s="19"/>
      <c r="F9" s="19"/>
      <c r="G9" s="19"/>
      <c r="H9" s="19"/>
      <c r="I9" s="19"/>
      <c r="J9" s="19"/>
      <c r="K9" s="19"/>
      <c r="L9" s="19"/>
      <c r="M9" s="19"/>
      <c r="N9" s="19"/>
      <c r="O9" s="19"/>
      <c r="P9" s="19"/>
    </row>
    <row r="10" spans="1:16">
      <c r="A10" s="24" t="s">
        <v>214</v>
      </c>
      <c r="B10" s="25">
        <f ca="1">'EF ele_warmte'!B12</f>
        <v>0.20573987516727452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14985.803319977755</v>
      </c>
      <c r="C12" s="23">
        <f ca="1">C10*C8</f>
        <v>0</v>
      </c>
      <c r="D12" s="23">
        <f>D8*D10</f>
        <v>26856.251795104021</v>
      </c>
      <c r="E12" s="23">
        <f>E10*E8</f>
        <v>3609.3017035612588</v>
      </c>
      <c r="F12" s="23">
        <f>F10*F8</f>
        <v>25576.912341118601</v>
      </c>
      <c r="G12" s="23"/>
      <c r="H12" s="23"/>
      <c r="I12" s="23"/>
      <c r="J12" s="23">
        <f>J10*J8</f>
        <v>303.53442174973844</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4495</v>
      </c>
      <c r="C18" s="166" t="s">
        <v>111</v>
      </c>
      <c r="D18" s="228"/>
      <c r="E18" s="15"/>
    </row>
    <row r="19" spans="1:7">
      <c r="A19" s="171" t="s">
        <v>72</v>
      </c>
      <c r="B19" s="37">
        <f>aantalw2001_ander</f>
        <v>9</v>
      </c>
      <c r="C19" s="166" t="s">
        <v>111</v>
      </c>
      <c r="D19" s="229"/>
      <c r="E19" s="15"/>
    </row>
    <row r="20" spans="1:7">
      <c r="A20" s="171" t="s">
        <v>73</v>
      </c>
      <c r="B20" s="37">
        <f>aantalw2001_propaan</f>
        <v>209</v>
      </c>
      <c r="C20" s="167">
        <f>IF(ISERROR(B20/SUM($B$20,$B$21,$B$22)*100),0,B20/SUM($B$20,$B$21,$B$22)*100)</f>
        <v>17.878528656971771</v>
      </c>
      <c r="D20" s="229"/>
      <c r="E20" s="15"/>
    </row>
    <row r="21" spans="1:7">
      <c r="A21" s="171" t="s">
        <v>74</v>
      </c>
      <c r="B21" s="37">
        <f>aantalw2001_elektriciteit</f>
        <v>794</v>
      </c>
      <c r="C21" s="167">
        <f>IF(ISERROR(B21/SUM($B$20,$B$21,$B$22)*100),0,B21/SUM($B$20,$B$21,$B$22)*100)</f>
        <v>67.921300256629607</v>
      </c>
      <c r="D21" s="229"/>
      <c r="E21" s="15"/>
    </row>
    <row r="22" spans="1:7">
      <c r="A22" s="171" t="s">
        <v>75</v>
      </c>
      <c r="B22" s="37">
        <f>aantalw2001_hout</f>
        <v>166</v>
      </c>
      <c r="C22" s="167">
        <f>IF(ISERROR(B22/SUM($B$20,$B$21,$B$22)*100),0,B22/SUM($B$20,$B$21,$B$22)*100)</f>
        <v>14.20017108639863</v>
      </c>
      <c r="D22" s="229"/>
      <c r="E22" s="15"/>
    </row>
    <row r="23" spans="1:7">
      <c r="A23" s="171" t="s">
        <v>76</v>
      </c>
      <c r="B23" s="37">
        <f>aantalw2001_niet_gespec</f>
        <v>188</v>
      </c>
      <c r="C23" s="166" t="s">
        <v>111</v>
      </c>
      <c r="D23" s="228"/>
      <c r="E23" s="15"/>
    </row>
    <row r="24" spans="1:7">
      <c r="A24" s="171" t="s">
        <v>77</v>
      </c>
      <c r="B24" s="37">
        <f>aantalw2001_steenkool</f>
        <v>538</v>
      </c>
      <c r="C24" s="166" t="s">
        <v>111</v>
      </c>
      <c r="D24" s="229"/>
      <c r="E24" s="15"/>
    </row>
    <row r="25" spans="1:7">
      <c r="A25" s="171" t="s">
        <v>78</v>
      </c>
      <c r="B25" s="37">
        <f>aantalw2001_stookolie</f>
        <v>8528</v>
      </c>
      <c r="C25" s="166" t="s">
        <v>111</v>
      </c>
      <c r="D25" s="228"/>
      <c r="E25" s="52"/>
    </row>
    <row r="26" spans="1:7">
      <c r="A26" s="171" t="s">
        <v>79</v>
      </c>
      <c r="B26" s="37">
        <f>aantalw2001_WP</f>
        <v>13</v>
      </c>
      <c r="C26" s="166" t="s">
        <v>111</v>
      </c>
      <c r="D26" s="228"/>
      <c r="E26" s="15"/>
    </row>
    <row r="27" spans="1:7" s="15" customFormat="1">
      <c r="A27" s="171"/>
      <c r="B27" s="29"/>
      <c r="C27" s="36"/>
      <c r="D27" s="228"/>
    </row>
    <row r="28" spans="1:7" s="15" customFormat="1">
      <c r="A28" s="230" t="s">
        <v>698</v>
      </c>
      <c r="B28" s="37">
        <f>aantalHuishoudens2011</f>
        <v>17626</v>
      </c>
      <c r="C28" s="36"/>
      <c r="D28" s="228"/>
    </row>
    <row r="29" spans="1:7" s="15" customFormat="1">
      <c r="A29" s="230" t="s">
        <v>699</v>
      </c>
      <c r="B29" s="37">
        <f>SUM(HH_hh_gas_aantal,HH_rest_gas_aantal)</f>
        <v>9598</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9598</v>
      </c>
      <c r="C32" s="167">
        <f>IF(ISERROR(B32/SUM($B$32,$B$34,$B$35,$B$36,$B$38,$B$39)*100),0,B32/SUM($B$32,$B$34,$B$35,$B$36,$B$38,$B$39)*100)</f>
        <v>54.86766135025438</v>
      </c>
      <c r="D32" s="233"/>
      <c r="G32" s="15"/>
    </row>
    <row r="33" spans="1:7">
      <c r="A33" s="171" t="s">
        <v>72</v>
      </c>
      <c r="B33" s="34" t="s">
        <v>111</v>
      </c>
      <c r="C33" s="167"/>
      <c r="D33" s="233"/>
      <c r="G33" s="15"/>
    </row>
    <row r="34" spans="1:7">
      <c r="A34" s="171" t="s">
        <v>73</v>
      </c>
      <c r="B34" s="33">
        <f>IF((($B$28-$B$32-$B$39-$B$77-$B$38)*C20/100)&lt;0,0,($B$28-$B$32-$B$39-$B$77-$B$38)*C20/100)</f>
        <v>702.98374679212998</v>
      </c>
      <c r="C34" s="167">
        <f>IF(ISERROR(B34/SUM($B$32,$B$34,$B$35,$B$36,$B$38,$B$39)*100),0,B34/SUM($B$32,$B$34,$B$35,$B$36,$B$38,$B$39)*100)</f>
        <v>4.0186574446471734</v>
      </c>
      <c r="D34" s="233"/>
      <c r="G34" s="15"/>
    </row>
    <row r="35" spans="1:7">
      <c r="A35" s="171" t="s">
        <v>74</v>
      </c>
      <c r="B35" s="33">
        <f>IF((($B$28-$B$32-$B$39-$B$77-$B$38)*C21/100)&lt;0,0,($B$28-$B$32-$B$39-$B$77-$B$38)*C21/100)</f>
        <v>2670.6655260906764</v>
      </c>
      <c r="C35" s="167">
        <f>IF(ISERROR(B35/SUM($B$32,$B$34,$B$35,$B$36,$B$38,$B$39)*100),0,B35/SUM($B$32,$B$34,$B$35,$B$36,$B$38,$B$39)*100)</f>
        <v>15.267052684449073</v>
      </c>
      <c r="D35" s="233"/>
      <c r="G35" s="15"/>
    </row>
    <row r="36" spans="1:7">
      <c r="A36" s="171" t="s">
        <v>75</v>
      </c>
      <c r="B36" s="33">
        <f>IF((($B$28-$B$32-$B$39-$B$77-$B$38)*C22/100)&lt;0,0,($B$28-$B$32-$B$39-$B$77-$B$38)*C22/100)</f>
        <v>558.35072711719408</v>
      </c>
      <c r="C36" s="167">
        <f>IF(ISERROR(B36/SUM($B$32,$B$34,$B$35,$B$36,$B$38,$B$39)*100),0,B36/SUM($B$32,$B$34,$B$35,$B$36,$B$38,$B$39)*100)</f>
        <v>3.1918523244566059</v>
      </c>
      <c r="D36" s="233"/>
      <c r="G36" s="15"/>
    </row>
    <row r="37" spans="1:7">
      <c r="A37" s="171" t="s">
        <v>76</v>
      </c>
      <c r="B37" s="34" t="s">
        <v>111</v>
      </c>
      <c r="C37" s="167"/>
      <c r="D37" s="173"/>
      <c r="G37" s="15"/>
    </row>
    <row r="38" spans="1:7">
      <c r="A38" s="171" t="s">
        <v>77</v>
      </c>
      <c r="B38" s="33">
        <f>IF((B24-(B29-B18)*0.1)&lt;0,0,B24-(B29-B18)*0.1)</f>
        <v>27.699999999999989</v>
      </c>
      <c r="C38" s="167">
        <f>IF(ISERROR(B38/SUM($B$32,$B$34,$B$35,$B$36,$B$38,$B$39)*100),0,B38/SUM($B$32,$B$34,$B$35,$B$36,$B$38,$B$39)*100)</f>
        <v>0.15834905390727713</v>
      </c>
      <c r="D38" s="234"/>
      <c r="G38" s="15"/>
    </row>
    <row r="39" spans="1:7">
      <c r="A39" s="171" t="s">
        <v>78</v>
      </c>
      <c r="B39" s="33">
        <f>IF((B25-(B29-B18))&lt;0,0,B25-(B29-B18)*0.9)</f>
        <v>3935.3</v>
      </c>
      <c r="C39" s="167">
        <f>IF(ISERROR(B39/SUM($B$32,$B$34,$B$35,$B$36,$B$38,$B$39)*100),0,B39/SUM($B$32,$B$34,$B$35,$B$36,$B$38,$B$39)*100)</f>
        <v>22.496427142285487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9598</v>
      </c>
      <c r="C44" s="34" t="s">
        <v>111</v>
      </c>
      <c r="D44" s="174"/>
    </row>
    <row r="45" spans="1:7">
      <c r="A45" s="171" t="s">
        <v>72</v>
      </c>
      <c r="B45" s="33" t="str">
        <f t="shared" si="0"/>
        <v>-</v>
      </c>
      <c r="C45" s="34" t="s">
        <v>111</v>
      </c>
      <c r="D45" s="174"/>
    </row>
    <row r="46" spans="1:7">
      <c r="A46" s="171" t="s">
        <v>73</v>
      </c>
      <c r="B46" s="33">
        <f t="shared" si="0"/>
        <v>702.98374679212998</v>
      </c>
      <c r="C46" s="34" t="s">
        <v>111</v>
      </c>
      <c r="D46" s="174"/>
    </row>
    <row r="47" spans="1:7">
      <c r="A47" s="171" t="s">
        <v>74</v>
      </c>
      <c r="B47" s="33">
        <f t="shared" si="0"/>
        <v>2670.6655260906764</v>
      </c>
      <c r="C47" s="34" t="s">
        <v>111</v>
      </c>
      <c r="D47" s="174"/>
    </row>
    <row r="48" spans="1:7">
      <c r="A48" s="171" t="s">
        <v>75</v>
      </c>
      <c r="B48" s="33">
        <f t="shared" si="0"/>
        <v>558.35072711719408</v>
      </c>
      <c r="C48" s="33">
        <f>B48*10</f>
        <v>5583.5072711719404</v>
      </c>
      <c r="D48" s="234"/>
    </row>
    <row r="49" spans="1:6">
      <c r="A49" s="171" t="s">
        <v>76</v>
      </c>
      <c r="B49" s="33" t="str">
        <f t="shared" si="0"/>
        <v>-</v>
      </c>
      <c r="C49" s="34" t="s">
        <v>111</v>
      </c>
      <c r="D49" s="234"/>
    </row>
    <row r="50" spans="1:6">
      <c r="A50" s="171" t="s">
        <v>77</v>
      </c>
      <c r="B50" s="33">
        <f t="shared" si="0"/>
        <v>27.699999999999989</v>
      </c>
      <c r="C50" s="33">
        <f>B50*2</f>
        <v>55.399999999999977</v>
      </c>
      <c r="D50" s="234"/>
    </row>
    <row r="51" spans="1:6">
      <c r="A51" s="171" t="s">
        <v>78</v>
      </c>
      <c r="B51" s="33">
        <f t="shared" si="0"/>
        <v>3935.3</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385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133</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49155.198414170001</v>
      </c>
      <c r="C5" s="17">
        <f>IF(ISERROR('Eigen informatie GS &amp; warmtenet'!B58),0,'Eigen informatie GS &amp; warmtenet'!B58)</f>
        <v>0</v>
      </c>
      <c r="D5" s="30">
        <f>SUM(D6:D12)</f>
        <v>51965.974963852408</v>
      </c>
      <c r="E5" s="17">
        <f>SUM(E6:E12)</f>
        <v>967.34381022234436</v>
      </c>
      <c r="F5" s="17">
        <f>SUM(F6:F12)</f>
        <v>12364.005452485555</v>
      </c>
      <c r="G5" s="18"/>
      <c r="H5" s="17"/>
      <c r="I5" s="17"/>
      <c r="J5" s="17">
        <f>SUM(J6:J12)</f>
        <v>0</v>
      </c>
      <c r="K5" s="17"/>
      <c r="L5" s="17"/>
      <c r="M5" s="17"/>
      <c r="N5" s="17">
        <f>SUM(N6:N12)</f>
        <v>4965.3932454946444</v>
      </c>
      <c r="O5" s="17">
        <f>B38*B39*B40</f>
        <v>9.3800000000000008</v>
      </c>
      <c r="P5" s="17">
        <f>B46*B47*B48/1000-B46*B47*B48/1000/B49</f>
        <v>38.133333333333333</v>
      </c>
      <c r="R5" s="32"/>
    </row>
    <row r="6" spans="1:18">
      <c r="A6" s="32" t="s">
        <v>54</v>
      </c>
      <c r="B6" s="37">
        <f>B26</f>
        <v>8065.9142703999996</v>
      </c>
      <c r="C6" s="33"/>
      <c r="D6" s="37">
        <f>IF(ISERROR(TER_kantoor_gas_kWh/1000),0,TER_kantoor_gas_kWh/1000)*0.902</f>
        <v>12445.191626626</v>
      </c>
      <c r="E6" s="33">
        <f>$C$26*'E Balans VL '!I12/100/3.6*1000000</f>
        <v>105.59275356519113</v>
      </c>
      <c r="F6" s="33">
        <f>$C$26*('E Balans VL '!L12+'E Balans VL '!N12)/100/3.6*1000000</f>
        <v>2056.7247889074624</v>
      </c>
      <c r="G6" s="34"/>
      <c r="H6" s="33"/>
      <c r="I6" s="33"/>
      <c r="J6" s="33">
        <f>$C$26*('E Balans VL '!D12+'E Balans VL '!E12)/100/3.6*1000000</f>
        <v>0</v>
      </c>
      <c r="K6" s="33"/>
      <c r="L6" s="33"/>
      <c r="M6" s="33"/>
      <c r="N6" s="33">
        <f>$C$26*'E Balans VL '!Y12/100/3.6*1000000</f>
        <v>8.0930758046725444</v>
      </c>
      <c r="O6" s="33"/>
      <c r="P6" s="33"/>
      <c r="R6" s="32"/>
    </row>
    <row r="7" spans="1:18">
      <c r="A7" s="32" t="s">
        <v>53</v>
      </c>
      <c r="B7" s="37">
        <f t="shared" ref="B7:B12" si="0">B27</f>
        <v>3923.1822305000001</v>
      </c>
      <c r="C7" s="33"/>
      <c r="D7" s="37">
        <f>IF(ISERROR(TER_horeca_gas_kWh/1000),0,TER_horeca_gas_kWh/1000)*0.902</f>
        <v>4576.0444992614002</v>
      </c>
      <c r="E7" s="33">
        <f>$C$27*'E Balans VL '!I9/100/3.6*1000000</f>
        <v>129.83346791257944</v>
      </c>
      <c r="F7" s="33">
        <f>$C$27*('E Balans VL '!L9+'E Balans VL '!N9)/100/3.6*1000000</f>
        <v>1686.9533236594746</v>
      </c>
      <c r="G7" s="34"/>
      <c r="H7" s="33"/>
      <c r="I7" s="33"/>
      <c r="J7" s="33">
        <f>$C$27*('E Balans VL '!D9+'E Balans VL '!E9)/100/3.6*1000000</f>
        <v>0</v>
      </c>
      <c r="K7" s="33"/>
      <c r="L7" s="33"/>
      <c r="M7" s="33"/>
      <c r="N7" s="33">
        <f>$C$27*'E Balans VL '!Y9/100/3.6*1000000</f>
        <v>0.94436693373936909</v>
      </c>
      <c r="O7" s="33"/>
      <c r="P7" s="33"/>
      <c r="R7" s="32"/>
    </row>
    <row r="8" spans="1:18">
      <c r="A8" s="6" t="s">
        <v>52</v>
      </c>
      <c r="B8" s="37">
        <f t="shared" si="0"/>
        <v>14222.859736</v>
      </c>
      <c r="C8" s="33"/>
      <c r="D8" s="37">
        <f>IF(ISERROR(TER_handel_gas_kWh/1000),0,TER_handel_gas_kWh/1000)*0.902</f>
        <v>11295.987705332</v>
      </c>
      <c r="E8" s="33">
        <f>$C$28*'E Balans VL '!I13/100/3.6*1000000</f>
        <v>448.89518515095278</v>
      </c>
      <c r="F8" s="33">
        <f>$C$28*('E Balans VL '!L13+'E Balans VL '!N13)/100/3.6*1000000</f>
        <v>2789.3532432402985</v>
      </c>
      <c r="G8" s="34"/>
      <c r="H8" s="33"/>
      <c r="I8" s="33"/>
      <c r="J8" s="33">
        <f>$C$28*('E Balans VL '!D13+'E Balans VL '!E13)/100/3.6*1000000</f>
        <v>0</v>
      </c>
      <c r="K8" s="33"/>
      <c r="L8" s="33"/>
      <c r="M8" s="33"/>
      <c r="N8" s="33">
        <f>$C$28*'E Balans VL '!Y13/100/3.6*1000000</f>
        <v>16.879773172313687</v>
      </c>
      <c r="O8" s="33"/>
      <c r="P8" s="33"/>
      <c r="R8" s="32"/>
    </row>
    <row r="9" spans="1:18">
      <c r="A9" s="32" t="s">
        <v>51</v>
      </c>
      <c r="B9" s="37">
        <f t="shared" si="0"/>
        <v>1969.5636460000001</v>
      </c>
      <c r="C9" s="33"/>
      <c r="D9" s="37">
        <f>IF(ISERROR(TER_gezond_gas_kWh/1000),0,TER_gezond_gas_kWh/1000)*0.902</f>
        <v>3086.1402897358003</v>
      </c>
      <c r="E9" s="33">
        <f>$C$29*'E Balans VL '!I10/100/3.6*1000000</f>
        <v>0.2521617649940216</v>
      </c>
      <c r="F9" s="33">
        <f>$C$29*('E Balans VL '!L10+'E Balans VL '!N10)/100/3.6*1000000</f>
        <v>410.34265943954637</v>
      </c>
      <c r="G9" s="34"/>
      <c r="H9" s="33"/>
      <c r="I9" s="33"/>
      <c r="J9" s="33">
        <f>$C$29*('E Balans VL '!D10+'E Balans VL '!E10)/100/3.6*1000000</f>
        <v>0</v>
      </c>
      <c r="K9" s="33"/>
      <c r="L9" s="33"/>
      <c r="M9" s="33"/>
      <c r="N9" s="33">
        <f>$C$29*'E Balans VL '!Y10/100/3.6*1000000</f>
        <v>23.133455960435651</v>
      </c>
      <c r="O9" s="33"/>
      <c r="P9" s="33"/>
      <c r="R9" s="32"/>
    </row>
    <row r="10" spans="1:18">
      <c r="A10" s="32" t="s">
        <v>50</v>
      </c>
      <c r="B10" s="37">
        <f t="shared" si="0"/>
        <v>4490.9992000000002</v>
      </c>
      <c r="C10" s="33"/>
      <c r="D10" s="37">
        <f>IF(ISERROR(TER_ander_gas_kWh/1000),0,TER_ander_gas_kWh/1000)*0.902</f>
        <v>4303.1223618679996</v>
      </c>
      <c r="E10" s="33">
        <f>$C$30*'E Balans VL '!I14/100/3.6*1000000</f>
        <v>6.753406668332782</v>
      </c>
      <c r="F10" s="33">
        <f>$C$30*('E Balans VL '!L14+'E Balans VL '!N14)/100/3.6*1000000</f>
        <v>991.46785781071674</v>
      </c>
      <c r="G10" s="34"/>
      <c r="H10" s="33"/>
      <c r="I10" s="33"/>
      <c r="J10" s="33">
        <f>$C$30*('E Balans VL '!D14+'E Balans VL '!E14)/100/3.6*1000000</f>
        <v>0</v>
      </c>
      <c r="K10" s="33"/>
      <c r="L10" s="33"/>
      <c r="M10" s="33"/>
      <c r="N10" s="33">
        <f>$C$30*'E Balans VL '!Y14/100/3.6*1000000</f>
        <v>3539.2096024508478</v>
      </c>
      <c r="O10" s="33"/>
      <c r="P10" s="33"/>
      <c r="R10" s="32"/>
    </row>
    <row r="11" spans="1:18">
      <c r="A11" s="32" t="s">
        <v>55</v>
      </c>
      <c r="B11" s="37">
        <f t="shared" si="0"/>
        <v>895.25192927000001</v>
      </c>
      <c r="C11" s="33"/>
      <c r="D11" s="37">
        <f>IF(ISERROR(TER_onderwijs_gas_kWh/1000),0,TER_onderwijs_gas_kWh/1000)*0.902</f>
        <v>3441.8546628312001</v>
      </c>
      <c r="E11" s="33">
        <f>$C$31*'E Balans VL '!I11/100/3.6*1000000</f>
        <v>1.5766136692968191</v>
      </c>
      <c r="F11" s="33">
        <f>$C$31*('E Balans VL '!L11+'E Balans VL '!N11)/100/3.6*1000000</f>
        <v>413.35401530082623</v>
      </c>
      <c r="G11" s="34"/>
      <c r="H11" s="33"/>
      <c r="I11" s="33"/>
      <c r="J11" s="33">
        <f>$C$31*('E Balans VL '!D11+'E Balans VL '!E11)/100/3.6*1000000</f>
        <v>0</v>
      </c>
      <c r="K11" s="33"/>
      <c r="L11" s="33"/>
      <c r="M11" s="33"/>
      <c r="N11" s="33">
        <f>$C$31*'E Balans VL '!Y11/100/3.6*1000000</f>
        <v>1.6678667244708303</v>
      </c>
      <c r="O11" s="33"/>
      <c r="P11" s="33"/>
      <c r="R11" s="32"/>
    </row>
    <row r="12" spans="1:18">
      <c r="A12" s="32" t="s">
        <v>260</v>
      </c>
      <c r="B12" s="37">
        <f t="shared" si="0"/>
        <v>15587.427402000001</v>
      </c>
      <c r="C12" s="33"/>
      <c r="D12" s="37">
        <f>IF(ISERROR(TER_rest_gas_kWh/1000),0,TER_rest_gas_kWh/1000)*0.902</f>
        <v>12817.633818198001</v>
      </c>
      <c r="E12" s="33">
        <f>$C$32*'E Balans VL '!I8/100/3.6*1000000</f>
        <v>274.44022149099726</v>
      </c>
      <c r="F12" s="33">
        <f>$C$32*('E Balans VL '!L8+'E Balans VL '!N8)/100/3.6*1000000</f>
        <v>4015.8095641272298</v>
      </c>
      <c r="G12" s="34"/>
      <c r="H12" s="33"/>
      <c r="I12" s="33"/>
      <c r="J12" s="33">
        <f>$C$32*('E Balans VL '!D8+'E Balans VL '!E8)/100/3.6*1000000</f>
        <v>0</v>
      </c>
      <c r="K12" s="33"/>
      <c r="L12" s="33"/>
      <c r="M12" s="33"/>
      <c r="N12" s="33">
        <f>$C$32*'E Balans VL '!Y8/100/3.6*1000000</f>
        <v>1375.4651044481641</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49155.198414170001</v>
      </c>
      <c r="C16" s="21">
        <f t="shared" ca="1" si="1"/>
        <v>0</v>
      </c>
      <c r="D16" s="21">
        <f t="shared" ca="1" si="1"/>
        <v>51965.974963852408</v>
      </c>
      <c r="E16" s="21">
        <f t="shared" si="1"/>
        <v>967.34381022234436</v>
      </c>
      <c r="F16" s="21">
        <f t="shared" ca="1" si="1"/>
        <v>12364.005452485555</v>
      </c>
      <c r="G16" s="21">
        <f t="shared" si="1"/>
        <v>0</v>
      </c>
      <c r="H16" s="21">
        <f t="shared" si="1"/>
        <v>0</v>
      </c>
      <c r="I16" s="21">
        <f t="shared" si="1"/>
        <v>0</v>
      </c>
      <c r="J16" s="21">
        <f t="shared" si="1"/>
        <v>0</v>
      </c>
      <c r="K16" s="21">
        <f t="shared" si="1"/>
        <v>0</v>
      </c>
      <c r="L16" s="21">
        <f t="shared" ca="1" si="1"/>
        <v>0</v>
      </c>
      <c r="M16" s="21">
        <f t="shared" si="1"/>
        <v>0</v>
      </c>
      <c r="N16" s="21">
        <f t="shared" ca="1" si="1"/>
        <v>4965.3932454946444</v>
      </c>
      <c r="O16" s="21">
        <f>O5</f>
        <v>9.3800000000000008</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0.20573987516727452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10113.184385553946</v>
      </c>
      <c r="C20" s="23">
        <f t="shared" ref="C20:P20" ca="1" si="2">C16*C18</f>
        <v>0</v>
      </c>
      <c r="D20" s="23">
        <f t="shared" ca="1" si="2"/>
        <v>10497.126942698187</v>
      </c>
      <c r="E20" s="23">
        <f t="shared" si="2"/>
        <v>219.58704492047218</v>
      </c>
      <c r="F20" s="23">
        <f t="shared" ca="1" si="2"/>
        <v>3301.1894558136432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8065.9142703999996</v>
      </c>
      <c r="C26" s="39">
        <f>IF(ISERROR(B26*3.6/1000000/'E Balans VL '!Z12*100),0,B26*3.6/1000000/'E Balans VL '!Z12*100)</f>
        <v>0.17277814983676315</v>
      </c>
      <c r="D26" s="237" t="s">
        <v>660</v>
      </c>
      <c r="F26" s="6"/>
    </row>
    <row r="27" spans="1:18">
      <c r="A27" s="231" t="s">
        <v>53</v>
      </c>
      <c r="B27" s="33">
        <f>IF(ISERROR(TER_horeca_ele_kWh/1000),0,TER_horeca_ele_kWh/1000)</f>
        <v>3923.1822305000001</v>
      </c>
      <c r="C27" s="39">
        <f>IF(ISERROR(B27*3.6/1000000/'E Balans VL '!Z9*100),0,B27*3.6/1000000/'E Balans VL '!Z9*100)</f>
        <v>0.31482173715538531</v>
      </c>
      <c r="D27" s="237" t="s">
        <v>660</v>
      </c>
      <c r="F27" s="6"/>
    </row>
    <row r="28" spans="1:18">
      <c r="A28" s="171" t="s">
        <v>52</v>
      </c>
      <c r="B28" s="33">
        <f>IF(ISERROR(TER_handel_ele_kWh/1000),0,TER_handel_ele_kWh/1000)</f>
        <v>14222.859736</v>
      </c>
      <c r="C28" s="39">
        <f>IF(ISERROR(B28*3.6/1000000/'E Balans VL '!Z13*100),0,B28*3.6/1000000/'E Balans VL '!Z13*100)</f>
        <v>0.41949278314247912</v>
      </c>
      <c r="D28" s="237" t="s">
        <v>660</v>
      </c>
      <c r="F28" s="6"/>
    </row>
    <row r="29" spans="1:18">
      <c r="A29" s="231" t="s">
        <v>51</v>
      </c>
      <c r="B29" s="33">
        <f>IF(ISERROR(TER_gezond_ele_kWh/1000),0,TER_gezond_ele_kWh/1000)</f>
        <v>1969.5636460000001</v>
      </c>
      <c r="C29" s="39">
        <f>IF(ISERROR(B29*3.6/1000000/'E Balans VL '!Z10*100),0,B29*3.6/1000000/'E Balans VL '!Z10*100)</f>
        <v>0.21029659141124277</v>
      </c>
      <c r="D29" s="237" t="s">
        <v>660</v>
      </c>
      <c r="F29" s="6"/>
    </row>
    <row r="30" spans="1:18">
      <c r="A30" s="231" t="s">
        <v>50</v>
      </c>
      <c r="B30" s="33">
        <f>IF(ISERROR(TER_ander_ele_kWh/1000),0,TER_ander_ele_kWh/1000)</f>
        <v>4490.9992000000002</v>
      </c>
      <c r="C30" s="39">
        <f>IF(ISERROR(B30*3.6/1000000/'E Balans VL '!Z14*100),0,B30*3.6/1000000/'E Balans VL '!Z14*100)</f>
        <v>0.33922280501850333</v>
      </c>
      <c r="D30" s="237" t="s">
        <v>660</v>
      </c>
      <c r="F30" s="6"/>
    </row>
    <row r="31" spans="1:18">
      <c r="A31" s="231" t="s">
        <v>55</v>
      </c>
      <c r="B31" s="33">
        <f>IF(ISERROR(TER_onderwijs_ele_kWh/1000),0,TER_onderwijs_ele_kWh/1000)</f>
        <v>895.25192927000001</v>
      </c>
      <c r="C31" s="39">
        <f>IF(ISERROR(B31*3.6/1000000/'E Balans VL '!Z11*100),0,B31*3.6/1000000/'E Balans VL '!Z11*100)</f>
        <v>0.18078125033781736</v>
      </c>
      <c r="D31" s="237" t="s">
        <v>660</v>
      </c>
    </row>
    <row r="32" spans="1:18">
      <c r="A32" s="231" t="s">
        <v>260</v>
      </c>
      <c r="B32" s="33">
        <f>IF(ISERROR(TER_rest_ele_kWh/1000),0,TER_rest_ele_kWh/1000)</f>
        <v>15587.427402000001</v>
      </c>
      <c r="C32" s="39">
        <f>IF(ISERROR(B32*3.6/1000000/'E Balans VL '!Z8*100),0,B32*3.6/1000000/'E Balans VL '!Z8*100)</f>
        <v>0.12924147849865239</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54055.982153610006</v>
      </c>
      <c r="C5" s="17">
        <f>IF(ISERROR('Eigen informatie GS &amp; warmtenet'!B59),0,'Eigen informatie GS &amp; warmtenet'!B59)</f>
        <v>0</v>
      </c>
      <c r="D5" s="30">
        <f>SUM(D6:D15)</f>
        <v>36625.176379713463</v>
      </c>
      <c r="E5" s="17">
        <f>SUM(E6:E15)</f>
        <v>5466.0785565897268</v>
      </c>
      <c r="F5" s="17">
        <f>SUM(F6:F15)</f>
        <v>19099.485243083742</v>
      </c>
      <c r="G5" s="18"/>
      <c r="H5" s="17"/>
      <c r="I5" s="17"/>
      <c r="J5" s="17">
        <f>SUM(J6:J15)</f>
        <v>104.12245656202695</v>
      </c>
      <c r="K5" s="17"/>
      <c r="L5" s="17"/>
      <c r="M5" s="17"/>
      <c r="N5" s="17">
        <f>SUM(N6:N15)</f>
        <v>9352.3175821140558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539.83823656999994</v>
      </c>
      <c r="C8" s="33"/>
      <c r="D8" s="37">
        <f>IF( ISERROR(IND_metaal_Gas_kWH/1000),0,IND_metaal_Gas_kWH/1000)*0.902</f>
        <v>294.61758253025999</v>
      </c>
      <c r="E8" s="33">
        <f>C30*'E Balans VL '!I18/100/3.6*1000000</f>
        <v>19.425012873160263</v>
      </c>
      <c r="F8" s="33">
        <f>C30*'E Balans VL '!L18/100/3.6*1000000+C30*'E Balans VL '!N18/100/3.6*1000000</f>
        <v>235.72985823727694</v>
      </c>
      <c r="G8" s="34"/>
      <c r="H8" s="33"/>
      <c r="I8" s="33"/>
      <c r="J8" s="40">
        <f>C30*'E Balans VL '!D18/100/3.6*1000000+C30*'E Balans VL '!E18/100/3.6*1000000</f>
        <v>0</v>
      </c>
      <c r="K8" s="33"/>
      <c r="L8" s="33"/>
      <c r="M8" s="33"/>
      <c r="N8" s="33">
        <f>C30*'E Balans VL '!Y18/100/3.6*1000000</f>
        <v>27.056325557934422</v>
      </c>
      <c r="O8" s="33"/>
      <c r="P8" s="33"/>
      <c r="R8" s="32"/>
    </row>
    <row r="9" spans="1:18">
      <c r="A9" s="6" t="s">
        <v>33</v>
      </c>
      <c r="B9" s="37">
        <f t="shared" si="0"/>
        <v>18821.030664000002</v>
      </c>
      <c r="C9" s="33"/>
      <c r="D9" s="37">
        <f>IF( ISERROR(IND_andere_gas_kWh/1000),0,IND_andere_gas_kWh/1000)*0.902</f>
        <v>2011.3168832679999</v>
      </c>
      <c r="E9" s="33">
        <f>C31*'E Balans VL '!I19/100/3.6*1000000</f>
        <v>4802.7011877067553</v>
      </c>
      <c r="F9" s="33">
        <f>C31*'E Balans VL '!L19/100/3.6*1000000+C31*'E Balans VL '!N19/100/3.6*1000000</f>
        <v>16203.492758042676</v>
      </c>
      <c r="G9" s="34"/>
      <c r="H9" s="33"/>
      <c r="I9" s="33"/>
      <c r="J9" s="40">
        <f>C31*'E Balans VL '!D19/100/3.6*1000000+C31*'E Balans VL '!E19/100/3.6*1000000</f>
        <v>0</v>
      </c>
      <c r="K9" s="33"/>
      <c r="L9" s="33"/>
      <c r="M9" s="33"/>
      <c r="N9" s="33">
        <f>C31*'E Balans VL '!Y19/100/3.6*1000000</f>
        <v>5885.9808416167161</v>
      </c>
      <c r="O9" s="33"/>
      <c r="P9" s="33"/>
      <c r="R9" s="32"/>
    </row>
    <row r="10" spans="1:18">
      <c r="A10" s="6" t="s">
        <v>41</v>
      </c>
      <c r="B10" s="37">
        <f t="shared" si="0"/>
        <v>877.04471351999996</v>
      </c>
      <c r="C10" s="33"/>
      <c r="D10" s="37">
        <f>IF( ISERROR(IND_voed_gas_kWh/1000),0,IND_voed_gas_kWh/1000)*0.902</f>
        <v>960.29344990920004</v>
      </c>
      <c r="E10" s="33">
        <f>C32*'E Balans VL '!I20/100/3.6*1000000</f>
        <v>22.295680898758864</v>
      </c>
      <c r="F10" s="33">
        <f>C32*'E Balans VL '!L20/100/3.6*1000000+C32*'E Balans VL '!N20/100/3.6*1000000</f>
        <v>198.46205309302601</v>
      </c>
      <c r="G10" s="34"/>
      <c r="H10" s="33"/>
      <c r="I10" s="33"/>
      <c r="J10" s="40">
        <f>C32*'E Balans VL '!D20/100/3.6*1000000+C32*'E Balans VL '!E20/100/3.6*1000000</f>
        <v>0</v>
      </c>
      <c r="K10" s="33"/>
      <c r="L10" s="33"/>
      <c r="M10" s="33"/>
      <c r="N10" s="33">
        <f>C32*'E Balans VL '!Y20/100/3.6*1000000</f>
        <v>328.91554080204816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294.67940851999998</v>
      </c>
      <c r="C13" s="33"/>
      <c r="D13" s="37">
        <f>IF( ISERROR(IND_papier_gas_kWh/1000),0,IND_papier_gas_kWh/1000)*0.902</f>
        <v>0</v>
      </c>
      <c r="E13" s="33">
        <f>C35*'E Balans VL '!I23/100/3.6*1000000</f>
        <v>1.2637942556618895</v>
      </c>
      <c r="F13" s="33">
        <f>C35*'E Balans VL '!L23/100/3.6*1000000+C35*'E Balans VL '!N23/100/3.6*1000000</f>
        <v>7.4062081627664744</v>
      </c>
      <c r="G13" s="34"/>
      <c r="H13" s="33"/>
      <c r="I13" s="33"/>
      <c r="J13" s="40">
        <f>C35*'E Balans VL '!D23/100/3.6*1000000+C35*'E Balans VL '!E23/100/3.6*1000000</f>
        <v>19.727170150344268</v>
      </c>
      <c r="K13" s="33"/>
      <c r="L13" s="33"/>
      <c r="M13" s="33"/>
      <c r="N13" s="33">
        <f>C35*'E Balans VL '!Y23/100/3.6*1000000</f>
        <v>536.38660094336615</v>
      </c>
      <c r="O13" s="33"/>
      <c r="P13" s="33"/>
      <c r="R13" s="32"/>
    </row>
    <row r="14" spans="1:18">
      <c r="A14" s="6" t="s">
        <v>34</v>
      </c>
      <c r="B14" s="37">
        <f t="shared" si="0"/>
        <v>23113.362793</v>
      </c>
      <c r="C14" s="33"/>
      <c r="D14" s="37">
        <f>IF( ISERROR(IND_chemie_gas_kWh/1000),0,IND_chemie_gas_kWh/1000)*0.902</f>
        <v>23528.570594188001</v>
      </c>
      <c r="E14" s="33">
        <f>C36*'E Balans VL '!I24/100/3.6*1000000</f>
        <v>55.410666892541833</v>
      </c>
      <c r="F14" s="33">
        <f>C36*'E Balans VL '!L24/100/3.6*1000000+C36*'E Balans VL '!N24/100/3.6*1000000</f>
        <v>185.4899647542355</v>
      </c>
      <c r="G14" s="34"/>
      <c r="H14" s="33"/>
      <c r="I14" s="33"/>
      <c r="J14" s="40">
        <f>C36*'E Balans VL '!D24/100/3.6*1000000+C36*'E Balans VL '!E24/100/3.6*1000000</f>
        <v>0</v>
      </c>
      <c r="K14" s="33"/>
      <c r="L14" s="33"/>
      <c r="M14" s="33"/>
      <c r="N14" s="33">
        <f>C36*'E Balans VL '!Y24/100/3.6*1000000</f>
        <v>477.73529004769682</v>
      </c>
      <c r="O14" s="33"/>
      <c r="P14" s="33"/>
      <c r="R14" s="32"/>
    </row>
    <row r="15" spans="1:18">
      <c r="A15" s="6" t="s">
        <v>270</v>
      </c>
      <c r="B15" s="37">
        <f t="shared" si="0"/>
        <v>10410.026338</v>
      </c>
      <c r="C15" s="33"/>
      <c r="D15" s="37">
        <f>IF( ISERROR(IND_rest_gas_kWh/1000),0,IND_rest_gas_kWh/1000)*0.902</f>
        <v>9830.3778698179995</v>
      </c>
      <c r="E15" s="33">
        <f>C37*'E Balans VL '!I15/100/3.6*1000000</f>
        <v>564.98221396284839</v>
      </c>
      <c r="F15" s="33">
        <f>C37*'E Balans VL '!L15/100/3.6*1000000+C37*'E Balans VL '!N15/100/3.6*1000000</f>
        <v>2268.9044007937605</v>
      </c>
      <c r="G15" s="34"/>
      <c r="H15" s="33"/>
      <c r="I15" s="33"/>
      <c r="J15" s="40">
        <f>C37*'E Balans VL '!D15/100/3.6*1000000+C37*'E Balans VL '!E15/100/3.6*1000000</f>
        <v>84.39528641168269</v>
      </c>
      <c r="K15" s="33"/>
      <c r="L15" s="33"/>
      <c r="M15" s="33"/>
      <c r="N15" s="33">
        <f>C37*'E Balans VL '!Y15/100/3.6*1000000</f>
        <v>2096.2429831462946</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54055.982153610006</v>
      </c>
      <c r="C18" s="21">
        <f>C5+C16</f>
        <v>0</v>
      </c>
      <c r="D18" s="21">
        <f>MAX((D5+D16),0)</f>
        <v>36625.176379713463</v>
      </c>
      <c r="E18" s="21">
        <f>MAX((E5+E16),0)</f>
        <v>5466.0785565897268</v>
      </c>
      <c r="F18" s="21">
        <f>MAX((F5+F16),0)</f>
        <v>19099.485243083742</v>
      </c>
      <c r="G18" s="21"/>
      <c r="H18" s="21"/>
      <c r="I18" s="21"/>
      <c r="J18" s="21">
        <f>MAX((J5+J16),0)</f>
        <v>104.12245656202695</v>
      </c>
      <c r="K18" s="21"/>
      <c r="L18" s="21">
        <f>MAX((L5+L16),0)</f>
        <v>0</v>
      </c>
      <c r="M18" s="21"/>
      <c r="N18" s="21">
        <f>MAX((N5+N16),0)</f>
        <v>9352.3175821140558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0.20573987516727452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11121.471020328141</v>
      </c>
      <c r="C22" s="23">
        <f ca="1">C18*C20</f>
        <v>0</v>
      </c>
      <c r="D22" s="23">
        <f>D18*D20</f>
        <v>7398.2856287021195</v>
      </c>
      <c r="E22" s="23">
        <f>E18*E20</f>
        <v>1240.799832345868</v>
      </c>
      <c r="F22" s="23">
        <f>F18*F20</f>
        <v>5099.5625599033592</v>
      </c>
      <c r="G22" s="23"/>
      <c r="H22" s="23"/>
      <c r="I22" s="23"/>
      <c r="J22" s="23">
        <f>J18*J20</f>
        <v>36.859349622957538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539.83823656999994</v>
      </c>
      <c r="C30" s="39">
        <f>IF(ISERROR(B30*3.6/1000000/'E Balans VL '!Z18*100),0,B30*3.6/1000000/'E Balans VL '!Z18*100)</f>
        <v>0.11438014850242541</v>
      </c>
      <c r="D30" s="237" t="s">
        <v>660</v>
      </c>
    </row>
    <row r="31" spans="1:18">
      <c r="A31" s="6" t="s">
        <v>33</v>
      </c>
      <c r="B31" s="37">
        <f>IF( ISERROR(IND_ander_ele_kWh/1000),0,IND_ander_ele_kWh/1000)</f>
        <v>18821.030664000002</v>
      </c>
      <c r="C31" s="39">
        <f>IF(ISERROR(B31*3.6/1000000/'E Balans VL '!Z19*100),0,B31*3.6/1000000/'E Balans VL '!Z19*100)</f>
        <v>0.7922199169059162</v>
      </c>
      <c r="D31" s="237" t="s">
        <v>660</v>
      </c>
    </row>
    <row r="32" spans="1:18">
      <c r="A32" s="171" t="s">
        <v>41</v>
      </c>
      <c r="B32" s="37">
        <f>IF( ISERROR(IND_voed_ele_kWh/1000),0,IND_voed_ele_kWh/1000)</f>
        <v>877.04471351999996</v>
      </c>
      <c r="C32" s="39">
        <f>IF(ISERROR(B32*3.6/1000000/'E Balans VL '!Z20*100),0,B32*3.6/1000000/'E Balans VL '!Z20*100)</f>
        <v>0.14652024247197315</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294.67940851999998</v>
      </c>
      <c r="C35" s="39">
        <f>IF(ISERROR(B35*3.6/1000000/'E Balans VL '!Z22*100),0,B35*3.6/1000000/'E Balans VL '!Z22*100)</f>
        <v>3.7352204231266506E-2</v>
      </c>
      <c r="D35" s="237" t="s">
        <v>660</v>
      </c>
    </row>
    <row r="36" spans="1:5">
      <c r="A36" s="171" t="s">
        <v>34</v>
      </c>
      <c r="B36" s="37">
        <f>IF( ISERROR(IND_chemie_ele_kWh/1000),0,IND_chemie_ele_kWh/1000)</f>
        <v>23113.362793</v>
      </c>
      <c r="C36" s="39">
        <f>IF(ISERROR(B36*3.6/1000000/'E Balans VL '!Z24*100),0,B36*3.6/1000000/'E Balans VL '!Z24*100)</f>
        <v>0.75072276886984868</v>
      </c>
      <c r="D36" s="237" t="s">
        <v>660</v>
      </c>
    </row>
    <row r="37" spans="1:5">
      <c r="A37" s="171" t="s">
        <v>270</v>
      </c>
      <c r="B37" s="37">
        <f>IF( ISERROR(IND_rest_ele_kWh/1000),0,IND_rest_ele_kWh/1000)</f>
        <v>10410.026338</v>
      </c>
      <c r="C37" s="39">
        <f>IF(ISERROR(B37*3.6/1000000/'E Balans VL '!Z15*100),0,B37*3.6/1000000/'E Balans VL '!Z15*100)</f>
        <v>8.4044173573625466E-2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1915.6638815399999</v>
      </c>
      <c r="C5" s="17">
        <f>'Eigen informatie GS &amp; warmtenet'!B60</f>
        <v>0</v>
      </c>
      <c r="D5" s="30">
        <f>IF(ISERROR(SUM(LB_lb_gas_kWh,LB_rest_gas_kWh,onbekend_gas_kWh)/1000),0,SUM(LB_lb_gas_kWh,LB_rest_gas_kWh,onbekend_gas_kWh)/1000)*0.902</f>
        <v>6028.2570211402008</v>
      </c>
      <c r="E5" s="17">
        <f>B17*'E Balans VL '!I25/3.6*1000000/100</f>
        <v>49.397616205992584</v>
      </c>
      <c r="F5" s="17">
        <f>B17*('E Balans VL '!L25/3.6*1000000+'E Balans VL '!N25/3.6*1000000)/100</f>
        <v>7002.1163074930046</v>
      </c>
      <c r="G5" s="18"/>
      <c r="H5" s="17"/>
      <c r="I5" s="17"/>
      <c r="J5" s="17">
        <f>('E Balans VL '!D25+'E Balans VL '!E25)/3.6*1000000*landbouw!B17/100</f>
        <v>275.78512807148053</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1915.6638815399999</v>
      </c>
      <c r="C8" s="21">
        <f>C5+C6</f>
        <v>0</v>
      </c>
      <c r="D8" s="21">
        <f>MAX((D5+D6),0)</f>
        <v>6028.2570211402008</v>
      </c>
      <c r="E8" s="21">
        <f>MAX((E5+E6),0)</f>
        <v>49.397616205992584</v>
      </c>
      <c r="F8" s="21">
        <f>MAX((F5+F6),0)</f>
        <v>7002.1163074930046</v>
      </c>
      <c r="G8" s="21"/>
      <c r="H8" s="21"/>
      <c r="I8" s="21"/>
      <c r="J8" s="21">
        <f>MAX((J5+J6),0)</f>
        <v>275.78512807148053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0.20573987516727452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394.12844785049612</v>
      </c>
      <c r="C12" s="23">
        <f ca="1">C8*C10</f>
        <v>0</v>
      </c>
      <c r="D12" s="23">
        <f>D8*D10</f>
        <v>1217.7079182703205</v>
      </c>
      <c r="E12" s="23">
        <f>E8*E10</f>
        <v>11.213258878760318</v>
      </c>
      <c r="F12" s="23">
        <f>F8*F10</f>
        <v>1869.5650541006323</v>
      </c>
      <c r="G12" s="23"/>
      <c r="H12" s="23"/>
      <c r="I12" s="23"/>
      <c r="J12" s="23">
        <f>J8*J10</f>
        <v>97.627935337304109</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0.27012129637016585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424.79766097304679</v>
      </c>
      <c r="C26" s="247">
        <f>B26*'GWP N2O_CH4'!B5</f>
        <v>8920.7508804339832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82.266546199134353</v>
      </c>
      <c r="C27" s="247">
        <f>B27*'GWP N2O_CH4'!B5</f>
        <v>1727.5974701818213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5.9904002168460213</v>
      </c>
      <c r="C28" s="247">
        <f>B28*'GWP N2O_CH4'!B4</f>
        <v>1857.0240672222667</v>
      </c>
      <c r="D28" s="50"/>
    </row>
    <row r="29" spans="1:4">
      <c r="A29" s="41" t="s">
        <v>277</v>
      </c>
      <c r="B29" s="247">
        <f>B34*'ha_N2O bodem landbouw'!B4</f>
        <v>22.984492748911336</v>
      </c>
      <c r="C29" s="247">
        <f>B29*'GWP N2O_CH4'!B4</f>
        <v>7125.1927521625139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5.1727598821740784E-3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2.139943348372264E-4</v>
      </c>
      <c r="C5" s="463" t="s">
        <v>211</v>
      </c>
      <c r="D5" s="448">
        <f>SUM(D6:D11)</f>
        <v>4.8586792148924197E-4</v>
      </c>
      <c r="E5" s="448">
        <f>SUM(E6:E11)</f>
        <v>1.8708327071309092E-3</v>
      </c>
      <c r="F5" s="461" t="s">
        <v>211</v>
      </c>
      <c r="G5" s="448">
        <f>SUM(G6:G11)</f>
        <v>0.5337218638416602</v>
      </c>
      <c r="H5" s="448">
        <f>SUM(H6:H11)</f>
        <v>0.13042512526587957</v>
      </c>
      <c r="I5" s="463" t="s">
        <v>211</v>
      </c>
      <c r="J5" s="463" t="s">
        <v>211</v>
      </c>
      <c r="K5" s="463" t="s">
        <v>211</v>
      </c>
      <c r="L5" s="463" t="s">
        <v>211</v>
      </c>
      <c r="M5" s="448">
        <f>SUM(M6:M11)</f>
        <v>2.0723458236421386E-2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1.7438172463354098E-4</v>
      </c>
      <c r="C6" s="449"/>
      <c r="D6" s="962">
        <f>vkm_2011_GW_PW*SUMIFS(TableVerdeelsleutelVkm[CNG],TableVerdeelsleutelVkm[Voertuigtype],"Lichte voertuigen")*SUMIFS(TableECFTransport[EnergieConsumptieFactor (PJ per km)],TableECFTransport[Index],CONCATENATE($A6,"_CNG_CNG"))</f>
        <v>3.4649954141033497E-4</v>
      </c>
      <c r="E6" s="962">
        <f>vkm_2011_GW_PW*SUMIFS(TableVerdeelsleutelVkm[LPG],TableVerdeelsleutelVkm[Voertuigtype],"Lichte voertuigen")*SUMIFS(TableECFTransport[EnergieConsumptieFactor (PJ per km)],TableECFTransport[Index],CONCATENATE($A6,"_LPG_LPG"))</f>
        <v>1.363599906223869E-3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0.32421726985897514</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9.3807850068023696E-2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1.3026048746964921E-2</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8.1869939920052689E-2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2.644748754649295E-5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2.5795965396452759E-3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3.9612610203685411E-5</v>
      </c>
      <c r="C8" s="449"/>
      <c r="D8" s="451">
        <f>vkm_2011_NGW_PW*SUMIFS(TableVerdeelsleutelVkm[CNG],TableVerdeelsleutelVkm[Voertuigtype],"Lichte voertuigen")*SUMIFS(TableECFTransport[EnergieConsumptieFactor (PJ per km)],TableECFTransport[Index],CONCATENATE($A8,"_CNG_CNG"))</f>
        <v>1.3936838007890697E-4</v>
      </c>
      <c r="E8" s="451">
        <f>vkm_2011_NGW_PW*SUMIFS(TableVerdeelsleutelVkm[LPG],TableVerdeelsleutelVkm[Voertuigtype],"Lichte voertuigen")*SUMIFS(TableECFTransport[EnergieConsumptieFactor (PJ per km)],TableECFTransport[Index],CONCATENATE($A8,"_LPG_LPG"))</f>
        <v>5.0723280090704005E-4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0.11261994063452839</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3.6586240588045778E-2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4.6447301997069538E-3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1.5014713428104013E-2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4.5871222636227628E-6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4.7308275010423648E-4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59.442870788118448</v>
      </c>
      <c r="C14" s="21"/>
      <c r="D14" s="21">
        <f t="shared" ref="D14:M14" si="0">((D5)*10^9/3600)+D12</f>
        <v>134.96331152478942</v>
      </c>
      <c r="E14" s="21">
        <f t="shared" si="0"/>
        <v>519.67575198080806</v>
      </c>
      <c r="F14" s="21"/>
      <c r="G14" s="21">
        <f t="shared" si="0"/>
        <v>148256.07328935005</v>
      </c>
      <c r="H14" s="21">
        <f t="shared" si="0"/>
        <v>36229.201462744328</v>
      </c>
      <c r="I14" s="21"/>
      <c r="J14" s="21"/>
      <c r="K14" s="21"/>
      <c r="L14" s="21"/>
      <c r="M14" s="21">
        <f t="shared" si="0"/>
        <v>5756.5161767837189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0.20573987516727452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12.229768815531919</v>
      </c>
      <c r="C18" s="23"/>
      <c r="D18" s="23">
        <f t="shared" ref="D18:M18" si="1">D14*D16</f>
        <v>27.262588928007464</v>
      </c>
      <c r="E18" s="23">
        <f t="shared" si="1"/>
        <v>117.96639569964343</v>
      </c>
      <c r="F18" s="23"/>
      <c r="G18" s="23">
        <f t="shared" si="1"/>
        <v>39584.371568256465</v>
      </c>
      <c r="H18" s="23">
        <f t="shared" si="1"/>
        <v>9021.0711642233382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9.4419993897875386E-3</v>
      </c>
      <c r="H50" s="321">
        <f t="shared" si="2"/>
        <v>0</v>
      </c>
      <c r="I50" s="321">
        <f t="shared" si="2"/>
        <v>0</v>
      </c>
      <c r="J50" s="321">
        <f t="shared" si="2"/>
        <v>0</v>
      </c>
      <c r="K50" s="321">
        <f t="shared" si="2"/>
        <v>0</v>
      </c>
      <c r="L50" s="321">
        <f t="shared" si="2"/>
        <v>0</v>
      </c>
      <c r="M50" s="321">
        <f t="shared" si="2"/>
        <v>2.9286969759929849E-4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9.4419993897875386E-3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2.9286969759929849E-4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2622.7776082743162</v>
      </c>
      <c r="H54" s="21">
        <f t="shared" si="3"/>
        <v>0</v>
      </c>
      <c r="I54" s="21">
        <f t="shared" si="3"/>
        <v>0</v>
      </c>
      <c r="J54" s="21">
        <f t="shared" si="3"/>
        <v>0</v>
      </c>
      <c r="K54" s="21">
        <f t="shared" si="3"/>
        <v>0</v>
      </c>
      <c r="L54" s="21">
        <f t="shared" si="3"/>
        <v>0</v>
      </c>
      <c r="M54" s="21">
        <f t="shared" si="3"/>
        <v>81.352693777582914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0.20573987516727452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700.28162140924246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0</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12484.604539685512</v>
      </c>
      <c r="C6" s="1210"/>
      <c r="D6" s="1213"/>
      <c r="E6" s="1213"/>
      <c r="F6" s="1216"/>
      <c r="G6" s="1219"/>
      <c r="H6" s="1207"/>
      <c r="I6" s="1213"/>
      <c r="J6" s="1213"/>
      <c r="K6" s="1213"/>
      <c r="L6" s="1243"/>
      <c r="M6" s="575"/>
      <c r="N6" s="1255"/>
      <c r="O6" s="1256"/>
      <c r="Q6" s="573"/>
      <c r="R6" s="1240"/>
      <c r="S6" s="1240"/>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55"/>
      <c r="O7" s="1256"/>
      <c r="Q7" s="573"/>
      <c r="R7" s="1240"/>
      <c r="S7" s="1240"/>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12484.604539685512</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51934.70941417</v>
      </c>
      <c r="D10" s="718">
        <f ca="1">tertiair!C16</f>
        <v>0</v>
      </c>
      <c r="E10" s="718">
        <f ca="1">tertiair!D16</f>
        <v>51965.974963852408</v>
      </c>
      <c r="F10" s="718">
        <f>tertiair!E16</f>
        <v>967.34381022234436</v>
      </c>
      <c r="G10" s="718">
        <f ca="1">tertiair!F16</f>
        <v>12364.005452485555</v>
      </c>
      <c r="H10" s="718">
        <f>tertiair!G16</f>
        <v>0</v>
      </c>
      <c r="I10" s="718">
        <f>tertiair!H16</f>
        <v>0</v>
      </c>
      <c r="J10" s="718">
        <f>tertiair!I16</f>
        <v>0</v>
      </c>
      <c r="K10" s="718">
        <f>tertiair!J16</f>
        <v>0</v>
      </c>
      <c r="L10" s="718">
        <f>tertiair!K16</f>
        <v>0</v>
      </c>
      <c r="M10" s="718">
        <f ca="1">tertiair!L16</f>
        <v>0</v>
      </c>
      <c r="N10" s="718">
        <f>tertiair!M16</f>
        <v>0</v>
      </c>
      <c r="O10" s="718">
        <f ca="1">tertiair!N16</f>
        <v>4965.3932454946444</v>
      </c>
      <c r="P10" s="718">
        <f>tertiair!O16</f>
        <v>9.3800000000000008</v>
      </c>
      <c r="Q10" s="719">
        <f>tertiair!P16</f>
        <v>38.133333333333333</v>
      </c>
      <c r="R10" s="721">
        <f ca="1">SUM(C10:Q10)</f>
        <v>122244.9402195583</v>
      </c>
      <c r="S10" s="67"/>
    </row>
    <row r="11" spans="1:19" s="474" customFormat="1">
      <c r="A11" s="870" t="s">
        <v>225</v>
      </c>
      <c r="B11" s="875"/>
      <c r="C11" s="718">
        <f>huishoudens!B8</f>
        <v>72838.59440370377</v>
      </c>
      <c r="D11" s="718">
        <f>huishoudens!C8</f>
        <v>0</v>
      </c>
      <c r="E11" s="718">
        <f>huishoudens!D8</f>
        <v>132951.74155992089</v>
      </c>
      <c r="F11" s="718">
        <f>huishoudens!E8</f>
        <v>15900.007504675148</v>
      </c>
      <c r="G11" s="718">
        <f>huishoudens!F8</f>
        <v>95793.679180219478</v>
      </c>
      <c r="H11" s="718">
        <f>huishoudens!G8</f>
        <v>0</v>
      </c>
      <c r="I11" s="718">
        <f>huishoudens!H8</f>
        <v>0</v>
      </c>
      <c r="J11" s="718">
        <f>huishoudens!I8</f>
        <v>0</v>
      </c>
      <c r="K11" s="718">
        <f>huishoudens!J8</f>
        <v>857.44186934954359</v>
      </c>
      <c r="L11" s="718">
        <f>huishoudens!K8</f>
        <v>0</v>
      </c>
      <c r="M11" s="718">
        <f>huishoudens!L8</f>
        <v>0</v>
      </c>
      <c r="N11" s="718">
        <f>huishoudens!M8</f>
        <v>0</v>
      </c>
      <c r="O11" s="718">
        <f>huishoudens!N8</f>
        <v>35866.381023188784</v>
      </c>
      <c r="P11" s="718">
        <f>huishoudens!O8</f>
        <v>601.88333333333333</v>
      </c>
      <c r="Q11" s="719">
        <f>huishoudens!P8</f>
        <v>2535.8666666666668</v>
      </c>
      <c r="R11" s="721">
        <f>SUM(C11:Q11)</f>
        <v>357345.59554105758</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54055.982153610006</v>
      </c>
      <c r="D13" s="718">
        <f>industrie!C18</f>
        <v>0</v>
      </c>
      <c r="E13" s="718">
        <f>industrie!D18</f>
        <v>36625.176379713463</v>
      </c>
      <c r="F13" s="718">
        <f>industrie!E18</f>
        <v>5466.0785565897268</v>
      </c>
      <c r="G13" s="718">
        <f>industrie!F18</f>
        <v>19099.485243083742</v>
      </c>
      <c r="H13" s="718">
        <f>industrie!G18</f>
        <v>0</v>
      </c>
      <c r="I13" s="718">
        <f>industrie!H18</f>
        <v>0</v>
      </c>
      <c r="J13" s="718">
        <f>industrie!I18</f>
        <v>0</v>
      </c>
      <c r="K13" s="718">
        <f>industrie!J18</f>
        <v>104.12245656202695</v>
      </c>
      <c r="L13" s="718">
        <f>industrie!K18</f>
        <v>0</v>
      </c>
      <c r="M13" s="718">
        <f>industrie!L18</f>
        <v>0</v>
      </c>
      <c r="N13" s="718">
        <f>industrie!M18</f>
        <v>0</v>
      </c>
      <c r="O13" s="718">
        <f>industrie!N18</f>
        <v>9352.3175821140558</v>
      </c>
      <c r="P13" s="718">
        <f>industrie!O18</f>
        <v>0</v>
      </c>
      <c r="Q13" s="719">
        <f>industrie!P18</f>
        <v>0</v>
      </c>
      <c r="R13" s="721">
        <f>SUM(C13:Q13)</f>
        <v>124703.16237167301</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178829.28597148377</v>
      </c>
      <c r="D15" s="723">
        <f t="shared" ref="D15:Q15" ca="1" si="0">SUM(D9:D14)</f>
        <v>0</v>
      </c>
      <c r="E15" s="723">
        <f t="shared" ca="1" si="0"/>
        <v>221542.89290348676</v>
      </c>
      <c r="F15" s="723">
        <f t="shared" si="0"/>
        <v>22333.42987148722</v>
      </c>
      <c r="G15" s="723">
        <f t="shared" ca="1" si="0"/>
        <v>127257.16987578876</v>
      </c>
      <c r="H15" s="723">
        <f t="shared" si="0"/>
        <v>0</v>
      </c>
      <c r="I15" s="723">
        <f t="shared" si="0"/>
        <v>0</v>
      </c>
      <c r="J15" s="723">
        <f t="shared" si="0"/>
        <v>0</v>
      </c>
      <c r="K15" s="723">
        <f t="shared" si="0"/>
        <v>961.56432591157056</v>
      </c>
      <c r="L15" s="723">
        <f t="shared" si="0"/>
        <v>0</v>
      </c>
      <c r="M15" s="723">
        <f t="shared" ca="1" si="0"/>
        <v>0</v>
      </c>
      <c r="N15" s="723">
        <f t="shared" si="0"/>
        <v>0</v>
      </c>
      <c r="O15" s="723">
        <f t="shared" ca="1" si="0"/>
        <v>50184.091850797478</v>
      </c>
      <c r="P15" s="723">
        <f t="shared" si="0"/>
        <v>611.26333333333332</v>
      </c>
      <c r="Q15" s="724">
        <f t="shared" si="0"/>
        <v>2574</v>
      </c>
      <c r="R15" s="725">
        <f ca="1">SUM(R9:R14)</f>
        <v>604293.69813228888</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2622.7776082743162</v>
      </c>
      <c r="I18" s="718">
        <f>transport!H54</f>
        <v>0</v>
      </c>
      <c r="J18" s="718">
        <f>transport!I54</f>
        <v>0</v>
      </c>
      <c r="K18" s="718">
        <f>transport!J54</f>
        <v>0</v>
      </c>
      <c r="L18" s="718">
        <f>transport!K54</f>
        <v>0</v>
      </c>
      <c r="M18" s="718">
        <f>transport!L54</f>
        <v>0</v>
      </c>
      <c r="N18" s="718">
        <f>transport!M54</f>
        <v>81.352693777582914</v>
      </c>
      <c r="O18" s="718">
        <f>transport!N54</f>
        <v>0</v>
      </c>
      <c r="P18" s="718">
        <f>transport!O54</f>
        <v>0</v>
      </c>
      <c r="Q18" s="719">
        <f>transport!P54</f>
        <v>0</v>
      </c>
      <c r="R18" s="721">
        <f>SUM(C18:Q18)</f>
        <v>2704.130302051899</v>
      </c>
      <c r="S18" s="67"/>
    </row>
    <row r="19" spans="1:19" s="474" customFormat="1" ht="15" thickBot="1">
      <c r="A19" s="870" t="s">
        <v>307</v>
      </c>
      <c r="B19" s="875"/>
      <c r="C19" s="727">
        <f>transport!B14</f>
        <v>59.442870788118448</v>
      </c>
      <c r="D19" s="727">
        <f>transport!C14</f>
        <v>0</v>
      </c>
      <c r="E19" s="727">
        <f>transport!D14</f>
        <v>134.96331152478942</v>
      </c>
      <c r="F19" s="727">
        <f>transport!E14</f>
        <v>519.67575198080806</v>
      </c>
      <c r="G19" s="727">
        <f>transport!F14</f>
        <v>0</v>
      </c>
      <c r="H19" s="727">
        <f>transport!G14</f>
        <v>148256.07328935005</v>
      </c>
      <c r="I19" s="727">
        <f>transport!H14</f>
        <v>36229.201462744328</v>
      </c>
      <c r="J19" s="727">
        <f>transport!I14</f>
        <v>0</v>
      </c>
      <c r="K19" s="727">
        <f>transport!J14</f>
        <v>0</v>
      </c>
      <c r="L19" s="727">
        <f>transport!K14</f>
        <v>0</v>
      </c>
      <c r="M19" s="727">
        <f>transport!L14</f>
        <v>0</v>
      </c>
      <c r="N19" s="727">
        <f>transport!M14</f>
        <v>5756.5161767837189</v>
      </c>
      <c r="O19" s="727">
        <f>transport!N14</f>
        <v>0</v>
      </c>
      <c r="P19" s="727">
        <f>transport!O14</f>
        <v>0</v>
      </c>
      <c r="Q19" s="728">
        <f>transport!P14</f>
        <v>0</v>
      </c>
      <c r="R19" s="729">
        <f>SUM(C19:Q19)</f>
        <v>190955.8728631718</v>
      </c>
      <c r="S19" s="67"/>
    </row>
    <row r="20" spans="1:19" s="474" customFormat="1" ht="15.75" thickBot="1">
      <c r="A20" s="730" t="s">
        <v>230</v>
      </c>
      <c r="B20" s="878"/>
      <c r="C20" s="873">
        <f>SUM(C17:C19)</f>
        <v>59.442870788118448</v>
      </c>
      <c r="D20" s="731">
        <f t="shared" ref="D20:R20" si="1">SUM(D17:D19)</f>
        <v>0</v>
      </c>
      <c r="E20" s="731">
        <f t="shared" si="1"/>
        <v>134.96331152478942</v>
      </c>
      <c r="F20" s="731">
        <f t="shared" si="1"/>
        <v>519.67575198080806</v>
      </c>
      <c r="G20" s="731">
        <f t="shared" si="1"/>
        <v>0</v>
      </c>
      <c r="H20" s="731">
        <f t="shared" si="1"/>
        <v>150878.85089762436</v>
      </c>
      <c r="I20" s="731">
        <f t="shared" si="1"/>
        <v>36229.201462744328</v>
      </c>
      <c r="J20" s="731">
        <f t="shared" si="1"/>
        <v>0</v>
      </c>
      <c r="K20" s="731">
        <f t="shared" si="1"/>
        <v>0</v>
      </c>
      <c r="L20" s="731">
        <f t="shared" si="1"/>
        <v>0</v>
      </c>
      <c r="M20" s="731">
        <f t="shared" si="1"/>
        <v>0</v>
      </c>
      <c r="N20" s="731">
        <f t="shared" si="1"/>
        <v>5837.8688705613022</v>
      </c>
      <c r="O20" s="731">
        <f t="shared" si="1"/>
        <v>0</v>
      </c>
      <c r="P20" s="731">
        <f t="shared" si="1"/>
        <v>0</v>
      </c>
      <c r="Q20" s="732">
        <f t="shared" si="1"/>
        <v>0</v>
      </c>
      <c r="R20" s="733">
        <f t="shared" si="1"/>
        <v>193660.00316522369</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1915.6638815399999</v>
      </c>
      <c r="D22" s="727">
        <f>+landbouw!C8</f>
        <v>0</v>
      </c>
      <c r="E22" s="727">
        <f>+landbouw!D8</f>
        <v>6028.2570211402008</v>
      </c>
      <c r="F22" s="727">
        <f>+landbouw!E8</f>
        <v>49.397616205992584</v>
      </c>
      <c r="G22" s="727">
        <f>+landbouw!F8</f>
        <v>7002.1163074930046</v>
      </c>
      <c r="H22" s="727">
        <f>+landbouw!G8</f>
        <v>0</v>
      </c>
      <c r="I22" s="727">
        <f>+landbouw!H8</f>
        <v>0</v>
      </c>
      <c r="J22" s="727">
        <f>+landbouw!I8</f>
        <v>0</v>
      </c>
      <c r="K22" s="727">
        <f>+landbouw!J8</f>
        <v>275.78512807148053</v>
      </c>
      <c r="L22" s="727">
        <f>+landbouw!K8</f>
        <v>0</v>
      </c>
      <c r="M22" s="727">
        <f>+landbouw!L8</f>
        <v>0</v>
      </c>
      <c r="N22" s="727">
        <f>+landbouw!M8</f>
        <v>0</v>
      </c>
      <c r="O22" s="727">
        <f>+landbouw!N8</f>
        <v>0</v>
      </c>
      <c r="P22" s="727">
        <f>+landbouw!O8</f>
        <v>0</v>
      </c>
      <c r="Q22" s="728">
        <f>+landbouw!P8</f>
        <v>0</v>
      </c>
      <c r="R22" s="729">
        <f>SUM(C22:Q22)</f>
        <v>15271.219954450678</v>
      </c>
      <c r="S22" s="67"/>
    </row>
    <row r="23" spans="1:19" s="474" customFormat="1" ht="17.25" thickTop="1" thickBot="1">
      <c r="A23" s="734" t="s">
        <v>116</v>
      </c>
      <c r="B23" s="864"/>
      <c r="C23" s="735">
        <f ca="1">C20+C15+C22</f>
        <v>180804.39272381191</v>
      </c>
      <c r="D23" s="735">
        <f t="shared" ref="D23:Q23" ca="1" si="2">D20+D15+D22</f>
        <v>0</v>
      </c>
      <c r="E23" s="735">
        <f t="shared" ca="1" si="2"/>
        <v>227706.11323615175</v>
      </c>
      <c r="F23" s="735">
        <f t="shared" si="2"/>
        <v>22902.503239674021</v>
      </c>
      <c r="G23" s="735">
        <f t="shared" ca="1" si="2"/>
        <v>134259.28618328177</v>
      </c>
      <c r="H23" s="735">
        <f t="shared" si="2"/>
        <v>150878.85089762436</v>
      </c>
      <c r="I23" s="735">
        <f t="shared" si="2"/>
        <v>36229.201462744328</v>
      </c>
      <c r="J23" s="735">
        <f t="shared" si="2"/>
        <v>0</v>
      </c>
      <c r="K23" s="735">
        <f t="shared" si="2"/>
        <v>1237.349453983051</v>
      </c>
      <c r="L23" s="735">
        <f t="shared" si="2"/>
        <v>0</v>
      </c>
      <c r="M23" s="735">
        <f t="shared" ca="1" si="2"/>
        <v>0</v>
      </c>
      <c r="N23" s="735">
        <f t="shared" si="2"/>
        <v>5837.8688705613022</v>
      </c>
      <c r="O23" s="735">
        <f t="shared" ca="1" si="2"/>
        <v>50184.091850797478</v>
      </c>
      <c r="P23" s="735">
        <f t="shared" si="2"/>
        <v>611.26333333333332</v>
      </c>
      <c r="Q23" s="736">
        <f t="shared" si="2"/>
        <v>2574</v>
      </c>
      <c r="R23" s="737">
        <f ca="1">R20+R15+R22</f>
        <v>813224.92125196324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10685.040631720012</v>
      </c>
      <c r="D36" s="718">
        <f ca="1">tertiair!C20</f>
        <v>0</v>
      </c>
      <c r="E36" s="718">
        <f ca="1">tertiair!D20</f>
        <v>10497.126942698187</v>
      </c>
      <c r="F36" s="718">
        <f>tertiair!E20</f>
        <v>219.58704492047218</v>
      </c>
      <c r="G36" s="718">
        <f ca="1">tertiair!F20</f>
        <v>3301.1894558136432</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24702.944075152318</v>
      </c>
    </row>
    <row r="37" spans="1:18">
      <c r="A37" s="885" t="s">
        <v>225</v>
      </c>
      <c r="B37" s="892"/>
      <c r="C37" s="718">
        <f ca="1">huishoudens!B12</f>
        <v>14985.803319977755</v>
      </c>
      <c r="D37" s="718">
        <f ca="1">huishoudens!C12</f>
        <v>0</v>
      </c>
      <c r="E37" s="718">
        <f>huishoudens!D12</f>
        <v>26856.251795104021</v>
      </c>
      <c r="F37" s="718">
        <f>huishoudens!E12</f>
        <v>3609.3017035612588</v>
      </c>
      <c r="G37" s="718">
        <f>huishoudens!F12</f>
        <v>25576.912341118601</v>
      </c>
      <c r="H37" s="718">
        <f>huishoudens!G12</f>
        <v>0</v>
      </c>
      <c r="I37" s="718">
        <f>huishoudens!H12</f>
        <v>0</v>
      </c>
      <c r="J37" s="718">
        <f>huishoudens!I12</f>
        <v>0</v>
      </c>
      <c r="K37" s="718">
        <f>huishoudens!J12</f>
        <v>303.53442174973844</v>
      </c>
      <c r="L37" s="718">
        <f>huishoudens!K12</f>
        <v>0</v>
      </c>
      <c r="M37" s="718">
        <f>huishoudens!L12</f>
        <v>0</v>
      </c>
      <c r="N37" s="718">
        <f>huishoudens!M12</f>
        <v>0</v>
      </c>
      <c r="O37" s="718">
        <f>huishoudens!N12</f>
        <v>0</v>
      </c>
      <c r="P37" s="718">
        <f>huishoudens!O12</f>
        <v>0</v>
      </c>
      <c r="Q37" s="828">
        <f>huishoudens!P12</f>
        <v>0</v>
      </c>
      <c r="R37" s="917">
        <f ca="1">SUM(C37:Q37)</f>
        <v>71331.803581511369</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11121.471020328141</v>
      </c>
      <c r="D39" s="718">
        <f ca="1">industrie!C22</f>
        <v>0</v>
      </c>
      <c r="E39" s="718">
        <f>industrie!D22</f>
        <v>7398.2856287021195</v>
      </c>
      <c r="F39" s="718">
        <f>industrie!E22</f>
        <v>1240.799832345868</v>
      </c>
      <c r="G39" s="718">
        <f>industrie!F22</f>
        <v>5099.5625599033592</v>
      </c>
      <c r="H39" s="718">
        <f>industrie!G22</f>
        <v>0</v>
      </c>
      <c r="I39" s="718">
        <f>industrie!H22</f>
        <v>0</v>
      </c>
      <c r="J39" s="718">
        <f>industrie!I22</f>
        <v>0</v>
      </c>
      <c r="K39" s="718">
        <f>industrie!J22</f>
        <v>36.859349622957538</v>
      </c>
      <c r="L39" s="718">
        <f>industrie!K22</f>
        <v>0</v>
      </c>
      <c r="M39" s="718">
        <f>industrie!L22</f>
        <v>0</v>
      </c>
      <c r="N39" s="718">
        <f>industrie!M22</f>
        <v>0</v>
      </c>
      <c r="O39" s="718">
        <f>industrie!N22</f>
        <v>0</v>
      </c>
      <c r="P39" s="718">
        <f>industrie!O22</f>
        <v>0</v>
      </c>
      <c r="Q39" s="828">
        <f>industrie!P22</f>
        <v>0</v>
      </c>
      <c r="R39" s="918">
        <f ca="1">SUM(C39:Q39)</f>
        <v>24896.978390902445</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36792.31497202591</v>
      </c>
      <c r="D41" s="763">
        <f t="shared" ref="D41:R41" ca="1" si="4">SUM(D35:D40)</f>
        <v>0</v>
      </c>
      <c r="E41" s="763">
        <f t="shared" ca="1" si="4"/>
        <v>44751.66436650433</v>
      </c>
      <c r="F41" s="763">
        <f t="shared" si="4"/>
        <v>5069.6885808275993</v>
      </c>
      <c r="G41" s="763">
        <f t="shared" ca="1" si="4"/>
        <v>33977.664356835608</v>
      </c>
      <c r="H41" s="763">
        <f t="shared" si="4"/>
        <v>0</v>
      </c>
      <c r="I41" s="763">
        <f t="shared" si="4"/>
        <v>0</v>
      </c>
      <c r="J41" s="763">
        <f t="shared" si="4"/>
        <v>0</v>
      </c>
      <c r="K41" s="763">
        <f t="shared" si="4"/>
        <v>340.39377137269599</v>
      </c>
      <c r="L41" s="763">
        <f t="shared" si="4"/>
        <v>0</v>
      </c>
      <c r="M41" s="763">
        <f t="shared" ca="1" si="4"/>
        <v>0</v>
      </c>
      <c r="N41" s="763">
        <f t="shared" si="4"/>
        <v>0</v>
      </c>
      <c r="O41" s="763">
        <f t="shared" ca="1" si="4"/>
        <v>0</v>
      </c>
      <c r="P41" s="763">
        <f t="shared" si="4"/>
        <v>0</v>
      </c>
      <c r="Q41" s="764">
        <f t="shared" si="4"/>
        <v>0</v>
      </c>
      <c r="R41" s="765">
        <f t="shared" ca="1" si="4"/>
        <v>120931.72604756613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700.28162140924246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700.28162140924246</v>
      </c>
    </row>
    <row r="45" spans="1:18" ht="15" thickBot="1">
      <c r="A45" s="888" t="s">
        <v>307</v>
      </c>
      <c r="B45" s="898"/>
      <c r="C45" s="727">
        <f ca="1">transport!B18</f>
        <v>12.229768815531919</v>
      </c>
      <c r="D45" s="727">
        <f>transport!C18</f>
        <v>0</v>
      </c>
      <c r="E45" s="727">
        <f>transport!D18</f>
        <v>27.262588928007464</v>
      </c>
      <c r="F45" s="727">
        <f>transport!E18</f>
        <v>117.96639569964343</v>
      </c>
      <c r="G45" s="727">
        <f>transport!F18</f>
        <v>0</v>
      </c>
      <c r="H45" s="727">
        <f>transport!G18</f>
        <v>39584.371568256465</v>
      </c>
      <c r="I45" s="727">
        <f>transport!H18</f>
        <v>9021.0711642233382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48762.901485922986</v>
      </c>
    </row>
    <row r="46" spans="1:18" ht="15.75" thickBot="1">
      <c r="A46" s="886" t="s">
        <v>230</v>
      </c>
      <c r="B46" s="899"/>
      <c r="C46" s="763">
        <f t="shared" ref="C46:R46" ca="1" si="5">SUM(C43:C45)</f>
        <v>12.229768815531919</v>
      </c>
      <c r="D46" s="763">
        <f t="shared" ca="1" si="5"/>
        <v>0</v>
      </c>
      <c r="E46" s="763">
        <f t="shared" si="5"/>
        <v>27.262588928007464</v>
      </c>
      <c r="F46" s="763">
        <f t="shared" si="5"/>
        <v>117.96639569964343</v>
      </c>
      <c r="G46" s="763">
        <f t="shared" si="5"/>
        <v>0</v>
      </c>
      <c r="H46" s="763">
        <f t="shared" si="5"/>
        <v>40284.653189665711</v>
      </c>
      <c r="I46" s="763">
        <f t="shared" si="5"/>
        <v>9021.0711642233382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49463.183107332232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394.12844785049612</v>
      </c>
      <c r="D48" s="718">
        <f ca="1">+landbouw!C12</f>
        <v>0</v>
      </c>
      <c r="E48" s="718">
        <f>+landbouw!D12</f>
        <v>1217.7079182703205</v>
      </c>
      <c r="F48" s="718">
        <f>+landbouw!E12</f>
        <v>11.213258878760318</v>
      </c>
      <c r="G48" s="718">
        <f>+landbouw!F12</f>
        <v>1869.5650541006323</v>
      </c>
      <c r="H48" s="718">
        <f>+landbouw!G12</f>
        <v>0</v>
      </c>
      <c r="I48" s="718">
        <f>+landbouw!H12</f>
        <v>0</v>
      </c>
      <c r="J48" s="718">
        <f>+landbouw!I12</f>
        <v>0</v>
      </c>
      <c r="K48" s="718">
        <f>+landbouw!J12</f>
        <v>97.627935337304109</v>
      </c>
      <c r="L48" s="718">
        <f>+landbouw!K12</f>
        <v>0</v>
      </c>
      <c r="M48" s="718">
        <f>+landbouw!L12</f>
        <v>0</v>
      </c>
      <c r="N48" s="718">
        <f>+landbouw!M12</f>
        <v>0</v>
      </c>
      <c r="O48" s="718">
        <f>+landbouw!N12</f>
        <v>0</v>
      </c>
      <c r="P48" s="718">
        <f>+landbouw!O12</f>
        <v>0</v>
      </c>
      <c r="Q48" s="719">
        <f>+landbouw!P12</f>
        <v>0</v>
      </c>
      <c r="R48" s="761">
        <f ca="1">SUM(C48:Q48)</f>
        <v>3590.2426144375136</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37198.673188691937</v>
      </c>
      <c r="D53" s="773">
        <f t="shared" ref="D53:Q53" ca="1" si="6">D41+D46+D48</f>
        <v>0</v>
      </c>
      <c r="E53" s="773">
        <f t="shared" ca="1" si="6"/>
        <v>45996.634873702664</v>
      </c>
      <c r="F53" s="773">
        <f t="shared" si="6"/>
        <v>5198.8682354060029</v>
      </c>
      <c r="G53" s="773">
        <f t="shared" ca="1" si="6"/>
        <v>35847.229410936241</v>
      </c>
      <c r="H53" s="773">
        <f t="shared" si="6"/>
        <v>40284.653189665711</v>
      </c>
      <c r="I53" s="773">
        <f t="shared" si="6"/>
        <v>9021.0711642233382</v>
      </c>
      <c r="J53" s="773">
        <f t="shared" si="6"/>
        <v>0</v>
      </c>
      <c r="K53" s="773">
        <f t="shared" si="6"/>
        <v>438.0217067100001</v>
      </c>
      <c r="L53" s="773">
        <f t="shared" si="6"/>
        <v>0</v>
      </c>
      <c r="M53" s="773">
        <f t="shared" ca="1" si="6"/>
        <v>0</v>
      </c>
      <c r="N53" s="773">
        <f t="shared" si="6"/>
        <v>0</v>
      </c>
      <c r="O53" s="773">
        <f t="shared" ca="1" si="6"/>
        <v>0</v>
      </c>
      <c r="P53" s="773">
        <f>P41+P46+P48</f>
        <v>0</v>
      </c>
      <c r="Q53" s="774">
        <f t="shared" si="6"/>
        <v>0</v>
      </c>
      <c r="R53" s="775">
        <f ca="1">R41+R46+R48</f>
        <v>173985.15176933588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0.20573987516727452</v>
      </c>
      <c r="D55" s="836">
        <f t="shared" ca="1" si="7"/>
        <v>0</v>
      </c>
      <c r="E55" s="836">
        <f t="shared" ca="1" si="7"/>
        <v>0.20200000000000004</v>
      </c>
      <c r="F55" s="836">
        <f t="shared" si="7"/>
        <v>0.22700000000000001</v>
      </c>
      <c r="G55" s="836">
        <f t="shared" ca="1" si="7"/>
        <v>0.26700000000000007</v>
      </c>
      <c r="H55" s="836">
        <f t="shared" si="7"/>
        <v>0.26700000000000002</v>
      </c>
      <c r="I55" s="836">
        <f t="shared" si="7"/>
        <v>0.24900000000000003</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0</v>
      </c>
      <c r="C64" s="795">
        <f>'lokale energieproductie'!B4</f>
        <v>0</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12484.604539685512</v>
      </c>
      <c r="C66" s="795">
        <f>'lokale energieproductie'!B6</f>
        <v>12484.604539685512</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12484.604539685512</v>
      </c>
      <c r="C69" s="803">
        <f>SUM(C64:C68)</f>
        <v>12484.604539685512</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72838.59440370377</v>
      </c>
      <c r="C4" s="478">
        <f>huishoudens!C8</f>
        <v>0</v>
      </c>
      <c r="D4" s="478">
        <f>huishoudens!D8</f>
        <v>132951.74155992089</v>
      </c>
      <c r="E4" s="478">
        <f>huishoudens!E8</f>
        <v>15900.007504675148</v>
      </c>
      <c r="F4" s="478">
        <f>huishoudens!F8</f>
        <v>95793.679180219478</v>
      </c>
      <c r="G4" s="478">
        <f>huishoudens!G8</f>
        <v>0</v>
      </c>
      <c r="H4" s="478">
        <f>huishoudens!H8</f>
        <v>0</v>
      </c>
      <c r="I4" s="478">
        <f>huishoudens!I8</f>
        <v>0</v>
      </c>
      <c r="J4" s="478">
        <f>huishoudens!J8</f>
        <v>857.44186934954359</v>
      </c>
      <c r="K4" s="478">
        <f>huishoudens!K8</f>
        <v>0</v>
      </c>
      <c r="L4" s="478">
        <f>huishoudens!L8</f>
        <v>0</v>
      </c>
      <c r="M4" s="478">
        <f>huishoudens!M8</f>
        <v>0</v>
      </c>
      <c r="N4" s="478">
        <f>huishoudens!N8</f>
        <v>35866.381023188784</v>
      </c>
      <c r="O4" s="478">
        <f>huishoudens!O8</f>
        <v>601.88333333333333</v>
      </c>
      <c r="P4" s="479">
        <f>huishoudens!P8</f>
        <v>2535.8666666666668</v>
      </c>
      <c r="Q4" s="480">
        <f>SUM(B4:P4)</f>
        <v>357345.59554105758</v>
      </c>
    </row>
    <row r="5" spans="1:17">
      <c r="A5" s="477" t="s">
        <v>156</v>
      </c>
      <c r="B5" s="478">
        <f ca="1">tertiair!B16</f>
        <v>49155.198414170001</v>
      </c>
      <c r="C5" s="478">
        <f ca="1">tertiair!C16</f>
        <v>0</v>
      </c>
      <c r="D5" s="478">
        <f ca="1">tertiair!D16</f>
        <v>51965.974963852408</v>
      </c>
      <c r="E5" s="478">
        <f>tertiair!E16</f>
        <v>967.34381022234436</v>
      </c>
      <c r="F5" s="478">
        <f ca="1">tertiair!F16</f>
        <v>12364.005452485555</v>
      </c>
      <c r="G5" s="478">
        <f>tertiair!G16</f>
        <v>0</v>
      </c>
      <c r="H5" s="478">
        <f>tertiair!H16</f>
        <v>0</v>
      </c>
      <c r="I5" s="478">
        <f>tertiair!I16</f>
        <v>0</v>
      </c>
      <c r="J5" s="478">
        <f>tertiair!J16</f>
        <v>0</v>
      </c>
      <c r="K5" s="478">
        <f>tertiair!K16</f>
        <v>0</v>
      </c>
      <c r="L5" s="478">
        <f ca="1">tertiair!L16</f>
        <v>0</v>
      </c>
      <c r="M5" s="478">
        <f>tertiair!M16</f>
        <v>0</v>
      </c>
      <c r="N5" s="478">
        <f ca="1">tertiair!N16</f>
        <v>4965.3932454946444</v>
      </c>
      <c r="O5" s="478">
        <f>tertiair!O16</f>
        <v>9.3800000000000008</v>
      </c>
      <c r="P5" s="479">
        <f>tertiair!P16</f>
        <v>38.133333333333333</v>
      </c>
      <c r="Q5" s="477">
        <f t="shared" ref="Q5:Q13" ca="1" si="0">SUM(B5:P5)</f>
        <v>119465.4292195583</v>
      </c>
    </row>
    <row r="6" spans="1:17">
      <c r="A6" s="477" t="s">
        <v>194</v>
      </c>
      <c r="B6" s="478">
        <f>'openbare verlichting'!B8</f>
        <v>2779.511</v>
      </c>
      <c r="C6" s="478"/>
      <c r="D6" s="478"/>
      <c r="E6" s="478"/>
      <c r="F6" s="478"/>
      <c r="G6" s="478"/>
      <c r="H6" s="478"/>
      <c r="I6" s="478"/>
      <c r="J6" s="478"/>
      <c r="K6" s="478"/>
      <c r="L6" s="478"/>
      <c r="M6" s="478"/>
      <c r="N6" s="478"/>
      <c r="O6" s="478"/>
      <c r="P6" s="479"/>
      <c r="Q6" s="477">
        <f t="shared" si="0"/>
        <v>2779.511</v>
      </c>
    </row>
    <row r="7" spans="1:17">
      <c r="A7" s="477" t="s">
        <v>112</v>
      </c>
      <c r="B7" s="478">
        <f>landbouw!B8</f>
        <v>1915.6638815399999</v>
      </c>
      <c r="C7" s="478">
        <f>landbouw!C8</f>
        <v>0</v>
      </c>
      <c r="D7" s="478">
        <f>landbouw!D8</f>
        <v>6028.2570211402008</v>
      </c>
      <c r="E7" s="478">
        <f>landbouw!E8</f>
        <v>49.397616205992584</v>
      </c>
      <c r="F7" s="478">
        <f>landbouw!F8</f>
        <v>7002.1163074930046</v>
      </c>
      <c r="G7" s="478">
        <f>landbouw!G8</f>
        <v>0</v>
      </c>
      <c r="H7" s="478">
        <f>landbouw!H8</f>
        <v>0</v>
      </c>
      <c r="I7" s="478">
        <f>landbouw!I8</f>
        <v>0</v>
      </c>
      <c r="J7" s="478">
        <f>landbouw!J8</f>
        <v>275.78512807148053</v>
      </c>
      <c r="K7" s="478">
        <f>landbouw!K8</f>
        <v>0</v>
      </c>
      <c r="L7" s="478">
        <f>landbouw!L8</f>
        <v>0</v>
      </c>
      <c r="M7" s="478">
        <f>landbouw!M8</f>
        <v>0</v>
      </c>
      <c r="N7" s="478">
        <f>landbouw!N8</f>
        <v>0</v>
      </c>
      <c r="O7" s="478">
        <f>landbouw!O8</f>
        <v>0</v>
      </c>
      <c r="P7" s="479">
        <f>landbouw!P8</f>
        <v>0</v>
      </c>
      <c r="Q7" s="477">
        <f t="shared" si="0"/>
        <v>15271.219954450678</v>
      </c>
    </row>
    <row r="8" spans="1:17">
      <c r="A8" s="477" t="s">
        <v>638</v>
      </c>
      <c r="B8" s="478">
        <f>industrie!B18</f>
        <v>54055.982153610006</v>
      </c>
      <c r="C8" s="478">
        <f>industrie!C18</f>
        <v>0</v>
      </c>
      <c r="D8" s="478">
        <f>industrie!D18</f>
        <v>36625.176379713463</v>
      </c>
      <c r="E8" s="478">
        <f>industrie!E18</f>
        <v>5466.0785565897268</v>
      </c>
      <c r="F8" s="478">
        <f>industrie!F18</f>
        <v>19099.485243083742</v>
      </c>
      <c r="G8" s="478">
        <f>industrie!G18</f>
        <v>0</v>
      </c>
      <c r="H8" s="478">
        <f>industrie!H18</f>
        <v>0</v>
      </c>
      <c r="I8" s="478">
        <f>industrie!I18</f>
        <v>0</v>
      </c>
      <c r="J8" s="478">
        <f>industrie!J18</f>
        <v>104.12245656202695</v>
      </c>
      <c r="K8" s="478">
        <f>industrie!K18</f>
        <v>0</v>
      </c>
      <c r="L8" s="478">
        <f>industrie!L18</f>
        <v>0</v>
      </c>
      <c r="M8" s="478">
        <f>industrie!M18</f>
        <v>0</v>
      </c>
      <c r="N8" s="478">
        <f>industrie!N18</f>
        <v>9352.3175821140558</v>
      </c>
      <c r="O8" s="478">
        <f>industrie!O18</f>
        <v>0</v>
      </c>
      <c r="P8" s="479">
        <f>industrie!P18</f>
        <v>0</v>
      </c>
      <c r="Q8" s="477">
        <f t="shared" si="0"/>
        <v>124703.16237167301</v>
      </c>
    </row>
    <row r="9" spans="1:17" s="483" customFormat="1">
      <c r="A9" s="481" t="s">
        <v>564</v>
      </c>
      <c r="B9" s="482">
        <f>transport!B14</f>
        <v>59.442870788118448</v>
      </c>
      <c r="C9" s="482"/>
      <c r="D9" s="482">
        <f>transport!D14</f>
        <v>134.96331152478942</v>
      </c>
      <c r="E9" s="482">
        <f>transport!E14</f>
        <v>519.67575198080806</v>
      </c>
      <c r="F9" s="482"/>
      <c r="G9" s="482">
        <f>transport!G14</f>
        <v>148256.07328935005</v>
      </c>
      <c r="H9" s="482">
        <f>transport!H14</f>
        <v>36229.201462744328</v>
      </c>
      <c r="I9" s="482"/>
      <c r="J9" s="482"/>
      <c r="K9" s="482"/>
      <c r="L9" s="482"/>
      <c r="M9" s="482">
        <f>transport!M14</f>
        <v>5756.5161767837189</v>
      </c>
      <c r="N9" s="482"/>
      <c r="O9" s="482"/>
      <c r="P9" s="482"/>
      <c r="Q9" s="481">
        <f>SUM(B9:P9)</f>
        <v>190955.8728631718</v>
      </c>
    </row>
    <row r="10" spans="1:17">
      <c r="A10" s="477" t="s">
        <v>554</v>
      </c>
      <c r="B10" s="478">
        <f>transport!B54</f>
        <v>0</v>
      </c>
      <c r="C10" s="478"/>
      <c r="D10" s="478">
        <f>transport!D54</f>
        <v>0</v>
      </c>
      <c r="E10" s="478"/>
      <c r="F10" s="478"/>
      <c r="G10" s="478">
        <f>transport!G54</f>
        <v>2622.7776082743162</v>
      </c>
      <c r="H10" s="478"/>
      <c r="I10" s="478"/>
      <c r="J10" s="478"/>
      <c r="K10" s="478"/>
      <c r="L10" s="478"/>
      <c r="M10" s="478">
        <f>transport!M54</f>
        <v>81.352693777582914</v>
      </c>
      <c r="N10" s="478"/>
      <c r="O10" s="478"/>
      <c r="P10" s="479"/>
      <c r="Q10" s="477">
        <f t="shared" si="0"/>
        <v>2704.130302051899</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180804.39272381188</v>
      </c>
      <c r="C14" s="488">
        <f t="shared" ref="C14:Q14" ca="1" si="1">SUM(C4:C13)</f>
        <v>0</v>
      </c>
      <c r="D14" s="488">
        <f t="shared" ca="1" si="1"/>
        <v>227706.11323615175</v>
      </c>
      <c r="E14" s="488">
        <f t="shared" si="1"/>
        <v>22902.503239674021</v>
      </c>
      <c r="F14" s="488">
        <f t="shared" ca="1" si="1"/>
        <v>134259.28618328177</v>
      </c>
      <c r="G14" s="488">
        <f t="shared" si="1"/>
        <v>150878.85089762436</v>
      </c>
      <c r="H14" s="488">
        <f t="shared" si="1"/>
        <v>36229.201462744328</v>
      </c>
      <c r="I14" s="488">
        <f t="shared" si="1"/>
        <v>0</v>
      </c>
      <c r="J14" s="488">
        <f t="shared" si="1"/>
        <v>1237.349453983051</v>
      </c>
      <c r="K14" s="488">
        <f t="shared" si="1"/>
        <v>0</v>
      </c>
      <c r="L14" s="488">
        <f t="shared" ca="1" si="1"/>
        <v>0</v>
      </c>
      <c r="M14" s="488">
        <f t="shared" si="1"/>
        <v>5837.8688705613022</v>
      </c>
      <c r="N14" s="488">
        <f t="shared" ca="1" si="1"/>
        <v>50184.091850797478</v>
      </c>
      <c r="O14" s="488">
        <f t="shared" si="1"/>
        <v>611.26333333333332</v>
      </c>
      <c r="P14" s="489">
        <f t="shared" si="1"/>
        <v>2574</v>
      </c>
      <c r="Q14" s="489">
        <f t="shared" ca="1" si="1"/>
        <v>813224.92125196324</v>
      </c>
    </row>
    <row r="16" spans="1:17">
      <c r="A16" s="491" t="s">
        <v>559</v>
      </c>
      <c r="B16" s="841">
        <f ca="1">huishoudens!B10</f>
        <v>0.20573987516727452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14985.803319977755</v>
      </c>
      <c r="C21" s="478">
        <f t="shared" ref="C21:C28" ca="1" si="3">C4*$C$16</f>
        <v>0</v>
      </c>
      <c r="D21" s="478">
        <f t="shared" ref="D21:D30" si="4">D4*$D$16</f>
        <v>26856.251795104021</v>
      </c>
      <c r="E21" s="478">
        <f t="shared" ref="E21:E30" si="5">E4*$E$16</f>
        <v>3609.3017035612588</v>
      </c>
      <c r="F21" s="478">
        <f t="shared" ref="F21:F28" si="6">F4*$F$16</f>
        <v>25576.912341118601</v>
      </c>
      <c r="G21" s="478">
        <f t="shared" ref="G21:G30" si="7">G4*$G$16</f>
        <v>0</v>
      </c>
      <c r="H21" s="478">
        <f t="shared" ref="H21:H30" si="8">H4*$H$16</f>
        <v>0</v>
      </c>
      <c r="I21" s="478">
        <f t="shared" ref="I21:I28" si="9">I4*$I$16</f>
        <v>0</v>
      </c>
      <c r="J21" s="478">
        <f t="shared" ref="J21:J28" si="10">J4*$J$16</f>
        <v>303.53442174973844</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71331.803581511369</v>
      </c>
    </row>
    <row r="22" spans="1:17">
      <c r="A22" s="477" t="s">
        <v>156</v>
      </c>
      <c r="B22" s="478">
        <f t="shared" ca="1" si="2"/>
        <v>10113.184385553946</v>
      </c>
      <c r="C22" s="478">
        <f t="shared" ca="1" si="3"/>
        <v>0</v>
      </c>
      <c r="D22" s="478">
        <f t="shared" ca="1" si="4"/>
        <v>10497.126942698187</v>
      </c>
      <c r="E22" s="478">
        <f t="shared" si="5"/>
        <v>219.58704492047218</v>
      </c>
      <c r="F22" s="478">
        <f t="shared" ca="1" si="6"/>
        <v>3301.1894558136432</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24131.087828986248</v>
      </c>
    </row>
    <row r="23" spans="1:17">
      <c r="A23" s="477" t="s">
        <v>194</v>
      </c>
      <c r="B23" s="478">
        <f t="shared" ca="1" si="2"/>
        <v>571.8562461660664</v>
      </c>
      <c r="C23" s="478"/>
      <c r="D23" s="478"/>
      <c r="E23" s="478"/>
      <c r="F23" s="478"/>
      <c r="G23" s="478"/>
      <c r="H23" s="478"/>
      <c r="I23" s="478"/>
      <c r="J23" s="478"/>
      <c r="K23" s="478"/>
      <c r="L23" s="478"/>
      <c r="M23" s="478"/>
      <c r="N23" s="478"/>
      <c r="O23" s="478"/>
      <c r="P23" s="479"/>
      <c r="Q23" s="477">
        <f t="shared" ca="1" si="17"/>
        <v>571.8562461660664</v>
      </c>
    </row>
    <row r="24" spans="1:17">
      <c r="A24" s="477" t="s">
        <v>112</v>
      </c>
      <c r="B24" s="478">
        <f t="shared" ca="1" si="2"/>
        <v>394.12844785049612</v>
      </c>
      <c r="C24" s="478">
        <f t="shared" ca="1" si="3"/>
        <v>0</v>
      </c>
      <c r="D24" s="478">
        <f t="shared" si="4"/>
        <v>1217.7079182703205</v>
      </c>
      <c r="E24" s="478">
        <f t="shared" si="5"/>
        <v>11.213258878760318</v>
      </c>
      <c r="F24" s="478">
        <f t="shared" si="6"/>
        <v>1869.5650541006323</v>
      </c>
      <c r="G24" s="478">
        <f t="shared" si="7"/>
        <v>0</v>
      </c>
      <c r="H24" s="478">
        <f t="shared" si="8"/>
        <v>0</v>
      </c>
      <c r="I24" s="478">
        <f t="shared" si="9"/>
        <v>0</v>
      </c>
      <c r="J24" s="478">
        <f t="shared" si="10"/>
        <v>97.627935337304109</v>
      </c>
      <c r="K24" s="478">
        <f t="shared" si="11"/>
        <v>0</v>
      </c>
      <c r="L24" s="478">
        <f t="shared" si="12"/>
        <v>0</v>
      </c>
      <c r="M24" s="478">
        <f t="shared" si="13"/>
        <v>0</v>
      </c>
      <c r="N24" s="478">
        <f t="shared" si="14"/>
        <v>0</v>
      </c>
      <c r="O24" s="478">
        <f t="shared" si="15"/>
        <v>0</v>
      </c>
      <c r="P24" s="479">
        <f t="shared" si="16"/>
        <v>0</v>
      </c>
      <c r="Q24" s="477">
        <f t="shared" ca="1" si="17"/>
        <v>3590.2426144375136</v>
      </c>
    </row>
    <row r="25" spans="1:17">
      <c r="A25" s="477" t="s">
        <v>638</v>
      </c>
      <c r="B25" s="478">
        <f t="shared" ca="1" si="2"/>
        <v>11121.471020328141</v>
      </c>
      <c r="C25" s="478">
        <f t="shared" ca="1" si="3"/>
        <v>0</v>
      </c>
      <c r="D25" s="478">
        <f t="shared" si="4"/>
        <v>7398.2856287021195</v>
      </c>
      <c r="E25" s="478">
        <f t="shared" si="5"/>
        <v>1240.799832345868</v>
      </c>
      <c r="F25" s="478">
        <f t="shared" si="6"/>
        <v>5099.5625599033592</v>
      </c>
      <c r="G25" s="478">
        <f t="shared" si="7"/>
        <v>0</v>
      </c>
      <c r="H25" s="478">
        <f t="shared" si="8"/>
        <v>0</v>
      </c>
      <c r="I25" s="478">
        <f t="shared" si="9"/>
        <v>0</v>
      </c>
      <c r="J25" s="478">
        <f t="shared" si="10"/>
        <v>36.859349622957538</v>
      </c>
      <c r="K25" s="478">
        <f t="shared" si="11"/>
        <v>0</v>
      </c>
      <c r="L25" s="478">
        <f t="shared" si="12"/>
        <v>0</v>
      </c>
      <c r="M25" s="478">
        <f t="shared" si="13"/>
        <v>0</v>
      </c>
      <c r="N25" s="478">
        <f t="shared" si="14"/>
        <v>0</v>
      </c>
      <c r="O25" s="478">
        <f t="shared" si="15"/>
        <v>0</v>
      </c>
      <c r="P25" s="479">
        <f t="shared" si="16"/>
        <v>0</v>
      </c>
      <c r="Q25" s="477">
        <f t="shared" ca="1" si="17"/>
        <v>24896.978390902445</v>
      </c>
    </row>
    <row r="26" spans="1:17" s="483" customFormat="1">
      <c r="A26" s="481" t="s">
        <v>564</v>
      </c>
      <c r="B26" s="835">
        <f t="shared" ca="1" si="2"/>
        <v>12.229768815531919</v>
      </c>
      <c r="C26" s="482"/>
      <c r="D26" s="482">
        <f t="shared" si="4"/>
        <v>27.262588928007464</v>
      </c>
      <c r="E26" s="482">
        <f t="shared" si="5"/>
        <v>117.96639569964343</v>
      </c>
      <c r="F26" s="482"/>
      <c r="G26" s="482">
        <f t="shared" si="7"/>
        <v>39584.371568256465</v>
      </c>
      <c r="H26" s="482">
        <f t="shared" si="8"/>
        <v>9021.0711642233382</v>
      </c>
      <c r="I26" s="482"/>
      <c r="J26" s="482"/>
      <c r="K26" s="482"/>
      <c r="L26" s="482"/>
      <c r="M26" s="482">
        <f t="shared" si="13"/>
        <v>0</v>
      </c>
      <c r="N26" s="482"/>
      <c r="O26" s="482"/>
      <c r="P26" s="493"/>
      <c r="Q26" s="481">
        <f t="shared" ca="1" si="17"/>
        <v>48762.901485922986</v>
      </c>
    </row>
    <row r="27" spans="1:17">
      <c r="A27" s="477" t="s">
        <v>554</v>
      </c>
      <c r="B27" s="478">
        <f t="shared" ca="1" si="2"/>
        <v>0</v>
      </c>
      <c r="C27" s="478"/>
      <c r="D27" s="482">
        <f t="shared" si="4"/>
        <v>0</v>
      </c>
      <c r="E27" s="478"/>
      <c r="F27" s="478"/>
      <c r="G27" s="478">
        <f t="shared" si="7"/>
        <v>700.28162140924246</v>
      </c>
      <c r="H27" s="478"/>
      <c r="I27" s="478"/>
      <c r="J27" s="478"/>
      <c r="K27" s="478"/>
      <c r="L27" s="478"/>
      <c r="M27" s="478">
        <f t="shared" si="13"/>
        <v>0</v>
      </c>
      <c r="N27" s="478"/>
      <c r="O27" s="478"/>
      <c r="P27" s="479"/>
      <c r="Q27" s="477">
        <f t="shared" ca="1" si="17"/>
        <v>700.28162140924246</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37198.673188691937</v>
      </c>
      <c r="C31" s="488">
        <f t="shared" ca="1" si="18"/>
        <v>0</v>
      </c>
      <c r="D31" s="488">
        <f t="shared" ca="1" si="18"/>
        <v>45996.634873702664</v>
      </c>
      <c r="E31" s="488">
        <f t="shared" si="18"/>
        <v>5198.8682354060029</v>
      </c>
      <c r="F31" s="488">
        <f t="shared" ca="1" si="18"/>
        <v>35847.229410936241</v>
      </c>
      <c r="G31" s="488">
        <f t="shared" si="18"/>
        <v>40284.653189665711</v>
      </c>
      <c r="H31" s="488">
        <f t="shared" si="18"/>
        <v>9021.0711642233382</v>
      </c>
      <c r="I31" s="488">
        <f t="shared" si="18"/>
        <v>0</v>
      </c>
      <c r="J31" s="488">
        <f t="shared" si="18"/>
        <v>438.0217067100001</v>
      </c>
      <c r="K31" s="488">
        <f t="shared" si="18"/>
        <v>0</v>
      </c>
      <c r="L31" s="488">
        <f t="shared" ca="1" si="18"/>
        <v>0</v>
      </c>
      <c r="M31" s="488">
        <f t="shared" si="18"/>
        <v>0</v>
      </c>
      <c r="N31" s="488">
        <f t="shared" ca="1" si="18"/>
        <v>0</v>
      </c>
      <c r="O31" s="488">
        <f t="shared" si="18"/>
        <v>0</v>
      </c>
      <c r="P31" s="489">
        <f t="shared" si="18"/>
        <v>0</v>
      </c>
      <c r="Q31" s="489">
        <f t="shared" ca="1" si="18"/>
        <v>173985.15176933585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0.20573987516727452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0.20573987516727452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0.20573987516727452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2019-01-01T21:24:05Z</dcterms:modified>
</cp:coreProperties>
</file>