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L8" i="48" s="1"/>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7" i="48"/>
  <c r="J24" s="1"/>
  <c r="M13" i="14"/>
  <c r="L22" i="16"/>
  <c r="M39" i="14" s="1"/>
  <c r="J12" i="17"/>
  <c r="K48" i="14" s="1"/>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E15"/>
  <c r="J20" i="15"/>
  <c r="K36" i="14" s="1"/>
  <c r="E20" i="15"/>
  <c r="F36" i="14" s="1"/>
  <c r="L31" i="48"/>
  <c r="N20" i="14"/>
  <c r="N23" s="1"/>
  <c r="E5" i="48"/>
  <c r="E22" s="1"/>
  <c r="J9" i="18"/>
  <c r="M7"/>
  <c r="M9" s="1"/>
  <c r="M16"/>
  <c r="M19" s="1"/>
  <c r="J18" i="16"/>
  <c r="J22" s="1"/>
  <c r="K39" i="14" s="1"/>
  <c r="E18" i="16"/>
  <c r="E8" i="48" s="1"/>
  <c r="F18" i="16"/>
  <c r="G13" i="14" s="1"/>
  <c r="G15" s="1"/>
  <c r="G23" s="1"/>
  <c r="N18" i="16"/>
  <c r="N8" i="48" s="1"/>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N22" i="16"/>
  <c r="O39" i="14" s="1"/>
  <c r="O41" s="1"/>
  <c r="F8" i="48"/>
  <c r="Q4"/>
  <c r="N22"/>
  <c r="R11" i="14"/>
  <c r="J21" i="48"/>
  <c r="R10" i="14"/>
  <c r="C10" i="17" l="1"/>
  <c r="C12" s="1"/>
  <c r="D48" i="14" s="1"/>
  <c r="C56" i="22"/>
  <c r="C58" s="1"/>
  <c r="D44" i="14" s="1"/>
  <c r="D46" s="1"/>
  <c r="C17" i="49"/>
  <c r="C29" i="20"/>
  <c r="C18" i="15"/>
  <c r="C20" s="1"/>
  <c r="D36" i="14" s="1"/>
  <c r="C17" i="19"/>
  <c r="C19" s="1"/>
  <c r="D35" i="14" s="1"/>
  <c r="C20" i="16"/>
  <c r="C22" s="1"/>
  <c r="D39" i="14" s="1"/>
  <c r="C10" i="13"/>
  <c r="C16" i="48" s="1"/>
  <c r="C25" s="1"/>
  <c r="C16" i="22"/>
  <c r="E22" i="16"/>
  <c r="F39" i="14" s="1"/>
  <c r="F41" s="1"/>
  <c r="F53" s="1"/>
  <c r="F55" s="1"/>
  <c r="K41"/>
  <c r="K53" s="1"/>
  <c r="J8" i="48"/>
  <c r="J25" s="1"/>
  <c r="O13" i="14"/>
  <c r="O15" s="1"/>
  <c r="N55"/>
  <c r="Q5" i="48"/>
  <c r="N25"/>
  <c r="N31" s="1"/>
  <c r="N14"/>
  <c r="E25"/>
  <c r="E31" s="1"/>
  <c r="E14"/>
  <c r="K13" i="14"/>
  <c r="K15" s="1"/>
  <c r="K23" s="1"/>
  <c r="H55"/>
  <c r="E55"/>
  <c r="C78"/>
  <c r="C81" s="1"/>
  <c r="J14" i="48"/>
  <c r="J31"/>
  <c r="Q8"/>
  <c r="R19" i="14"/>
  <c r="R20" s="1"/>
  <c r="H14" i="48"/>
  <c r="G31"/>
  <c r="H26"/>
  <c r="H31" s="1"/>
  <c r="O53" i="14"/>
  <c r="G53"/>
  <c r="G55" s="1"/>
  <c r="O69" s="1"/>
  <c r="B9" i="6" s="1"/>
  <c r="B12" s="1"/>
  <c r="M53" i="14"/>
  <c r="M55" s="1"/>
  <c r="C21" i="48"/>
  <c r="K55" i="14"/>
  <c r="R13"/>
  <c r="R15" s="1"/>
  <c r="F25" i="48"/>
  <c r="F31" s="1"/>
  <c r="F14"/>
  <c r="C24" l="1"/>
  <c r="C31" s="1"/>
  <c r="C12" i="13"/>
  <c r="D37" i="14" s="1"/>
  <c r="D41" s="1"/>
  <c r="C28" i="48"/>
  <c r="C22"/>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<sst xmlns="http://schemas.openxmlformats.org/spreadsheetml/2006/main" count="2138" uniqueCount="868">
  <si>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</si>
  <si>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</si>
  <si>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</si>
  <si>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</si>
  <si>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</si>
  <si>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</si>
  <si>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</si>
  <si>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</si>
  <si>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</si>
  <si>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</si>
  <si>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</si>
  <si>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</si>
  <si>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</si>
  <si>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</si>
  <si>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</si>
  <si>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</si>
  <si>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</si>
  <si>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</si>
  <si>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</si>
  <si>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</si>
  <si>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</si>
  <si>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</si>
  <si>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</si>
  <si>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</si>
  <si>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</si>
  <si>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</si>
  <si>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</si>
  <si>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</si>
  <si>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</si>
  <si>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</si>
  <si>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</si>
  <si>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</si>
  <si>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</si>
  <si>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</si>
  <si>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</si>
  <si>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</si>
  <si>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</si>
  <si>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</si>
  <si>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</si>
  <si>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</si>
  <si>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</si>
  <si>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</si>
  <si>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</si>
  <si>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</si>
  <si>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</si>
  <si>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</si>
  <si>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</si>
  <si>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</si>
  <si>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</si>
  <si>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</si>
  <si>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</si>
  <si>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</si>
  <si>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</si>
  <si>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</si>
  <si>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</si>
  <si>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</si>
  <si>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</si>
  <si>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</si>
  <si>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</si>
  <si>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</si>
  <si>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</si>
  <si>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</si>
  <si>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</si>
  <si>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</si>
  <si>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</si>
  <si>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</si>
  <si>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</si>
  <si>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</si>
  <si>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</si>
  <si>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</si>
  <si>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</si>
  <si>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</si>
  <si>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</si>
  <si>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</si>
  <si>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</si>
  <si>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</si>
  <si>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</si>
  <si>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</si>
  <si>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</si>
  <si>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</si>
  <si>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</si>
  <si>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</si>
  <si>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</si>
  <si>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</si>
  <si>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</si>
  <si>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</si>
  <si>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</si>
  <si>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</si>
  <si>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</si>
  <si>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</si>
  <si>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</si>
  <si>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</si>
  <si>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</si>
  <si>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</si>
  <si>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</si>
  <si>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</si>
  <si>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</si>
  <si>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</si>
  <si>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</si>
  <si>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</si>
  <si>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</si>
  <si>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</si>
  <si>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</si>
  <si>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</si>
  <si>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</si>
  <si>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</si>
  <si>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</si>
  <si>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</si>
  <si>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</si>
  <si>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</si>
  <si>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</si>
  <si>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</si>
  <si>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</si>
  <si>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</si>
  <si>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</si>
  <si>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</si>
  <si>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</si>
  <si>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</si>
  <si>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</si>
  <si>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</si>
  <si>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</si>
  <si>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</si>
  <si>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</si>
  <si>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</si>
  <si>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</si>
  <si>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</si>
  <si>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</si>
  <si>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</si>
  <si>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</si>
  <si>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</si>
  <si>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</si>
  <si>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</si>
  <si>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</si>
  <si>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</si>
  <si>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</si>
  <si>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</si>
  <si>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</si>
  <si>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</si>
  <si>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</si>
  <si>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</si>
  <si>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</si>
  <si>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</si>
  <si>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</si>
  <si>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</si>
  <si>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</si>
  <si>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</si>
  <si>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</si>
  <si>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</si>
  <si>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</si>
  <si>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</si>
  <si>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</si>
  <si>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</si>
  <si>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</si>
  <si>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</si>
  <si>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</si>
  <si>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</si>
  <si>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</si>
  <si>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</si>
  <si>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</si>
  <si>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</si>
  <si>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</si>
  <si>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</si>
  <si>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</si>
  <si>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</si>
  <si>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</si>
  <si>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</si>
  <si>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</si>
  <si>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</si>
  <si>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</si>
  <si>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</si>
  <si>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</si>
  <si>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</si>
  <si>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</si>
  <si>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</si>
  <si>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</si>
  <si>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</si>
  <si>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</si>
  <si>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</si>
  <si>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</si>
  <si>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</si>
  <si>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</si>
  <si>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</si>
  <si>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</si>
  <si>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</si>
  <si>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</si>
  <si>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</si>
  <si>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</si>
  <si>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</si>
  <si>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</si>
  <si>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</si>
  <si>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</si>
  <si>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</si>
  <si>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</si>
  <si>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</si>
  <si>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</si>
  <si>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</si>
  <si>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</si>
  <si>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</si>
  <si>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</si>
  <si>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</si>
  <si>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</si>
  <si>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</si>
  <si>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</si>
  <si>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</si>
  <si>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</si>
  <si>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</si>
  <si>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</si>
  <si>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</si>
  <si>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</si>
  <si>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</si>
  <si>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</si>
  <si>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</si>
  <si>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</si>
  <si>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</si>
  <si>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</si>
  <si>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</si>
  <si>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</si>
  <si>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</si>
  <si>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</si>
  <si>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</si>
  <si>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</si>
  <si>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</si>
  <si>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</si>
  <si>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</si>
  <si>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</si>
  <si>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</si>
  <si>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</si>
  <si>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</si>
  <si>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</si>
  <si>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</si>
  <si>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</si>
  <si>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</si>
  <si>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</si>
  <si>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</si>
  <si>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</si>
  <si>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</si>
  <si>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</si>
  <si>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</si>
  <si>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</si>
  <si>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</si>
  <si>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</si>
  <si>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</si>
  <si>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</si>
  <si>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</si>
  <si>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</si>
  <si>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</si>
  <si>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</si>
  <si>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</si>
  <si>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</si>
  <si>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</si>
  <si>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</si>
  <si>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</si>
  <si>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</si>
  <si>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</si>
  <si>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</si>
  <si>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</si>
  <si>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</si>
  <si>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</si>
  <si>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</si>
  <si>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</si>
  <si>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</si>
  <si>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</si>
  <si>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</si>
  <si>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</si>
  <si>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</si>
  <si>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</si>
  <si>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</si>
  <si>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</si>
  <si>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</si>
  <si>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</si>
  <si>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</si>
  <si>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</si>
  <si>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</si>
  <si>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</si>
  <si>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</si>
  <si>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</si>
  <si>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</si>
  <si>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</si>
  <si>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</si>
  <si>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</si>
  <si>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</si>
  <si>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</si>
  <si>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</si>
  <si>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</si>
  <si>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</si>
  <si>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</si>
  <si>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</si>
  <si>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</si>
  <si>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</si>
  <si>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</si>
  <si>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</si>
  <si>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</si>
  <si>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</si>
  <si>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</si>
  <si>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</si>
  <si>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</si>
  <si>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</si>
  <si>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</si>
  <si>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</si>
  <si>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</si>
  <si>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</si>
  <si>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</si>
  <si>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</si>
  <si>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</si>
  <si>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</si>
  <si>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</si>
  <si>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</si>
  <si>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</si>
  <si>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</si>
  <si>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</si>
  <si>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</si>
  <si>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</si>
  <si>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</si>
  <si>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</si>
  <si>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</si>
  <si>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</si>
  <si>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</si>
  <si>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</si>
  <si>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</si>
  <si>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</si>
  <si>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</si>
  <si>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</si>
  <si>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</si>
  <si>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</si>
  <si>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</si>
  <si>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</si>
  <si>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</si>
  <si>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</si>
  <si>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</si>
  <si>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</si>
  <si>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</si>
  <si>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</si>
  <si>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</si>
  <si>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</si>
  <si>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</si>
  <si>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</si>
  <si>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</si>
  <si>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</si>
  <si>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</si>
  <si>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</si>
  <si>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</si>
  <si>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</si>
  <si>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</si>
  <si>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</si>
  <si>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</si>
  <si>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</si>
  <si>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</si>
  <si>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</si>
  <si>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</si>
  <si>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</si>
  <si>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</si>
  <si>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</si>
  <si>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</si>
  <si>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</si>
  <si>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</si>
  <si>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</si>
  <si>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</si>
  <si>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</si>
  <si>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</si>
  <si>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</si>
  <si>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</si>
  <si>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</si>
  <si>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</si>
  <si>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</si>
  <si>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</si>
  <si>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</si>
  <si>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</si>
  <si>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</si>
  <si>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</si>
  <si>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</si>
  <si>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</si>
  <si>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</si>
  <si>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</si>
  <si>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</si>
  <si>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</si>
  <si>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</si>
  <si>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</si>
  <si>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</si>
  <si>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</si>
  <si>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</si>
  <si>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</si>
  <si>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</si>
  <si>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</si>
  <si>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</si>
  <si>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</si>
  <si>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</si>
  <si>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</si>
  <si>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</si>
  <si>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</si>
  <si>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</si>
  <si>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</si>
  <si>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</si>
  <si>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</si>
  <si>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</si>
  <si>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</si>
  <si>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</si>
  <si>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</si>
  <si>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</si>
  <si>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</si>
  <si>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</si>
  <si>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</si>
  <si>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</si>
  <si>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</si>
  <si>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</si>
  <si>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</si>
  <si>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</si>
  <si>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</si>
  <si>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</si>
  <si>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</si>
  <si>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</si>
  <si>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</si>
  <si>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</si>
  <si>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</si>
  <si>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</si>
  <si>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</si>
  <si>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</si>
  <si>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</si>
  <si>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</si>
  <si>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</si>
  <si>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</si>
  <si>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</si>
  <si>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</si>
  <si>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</si>
  <si>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</si>
  <si>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</si>
  <si>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</si>
  <si>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</si>
  <si>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</si>
  <si>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</si>
  <si>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</si>
  <si>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</si>
  <si>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</si>
  <si>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</si>
  <si>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</si>
  <si>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</si>
  <si>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</si>
  <si>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</si>
  <si>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</si>
  <si>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</si>
  <si>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</si>
  <si>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</si>
  <si>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</si>
  <si>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</si>
  <si>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</si>
  <si>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</si>
  <si>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</si>
  <si>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</si>
  <si>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</si>
  <si>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</si>
  <si>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</si>
  <si>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</si>
  <si>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</si>
  <si>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</si>
  <si>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</si>
  <si>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</si>
  <si>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</si>
  <si>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</si>
  <si>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</si>
  <si>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</si>
  <si>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</si>
  <si>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</si>
  <si>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</si>
  <si>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</si>
  <si>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</si>
  <si>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</si>
  <si>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</si>
  <si>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</si>
  <si>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</si>
  <si>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</si>
  <si>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</si>
  <si>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</si>
  <si>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</si>
  <si>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</si>
  <si>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</si>
  <si>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</si>
  <si>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</si>
  <si>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</si>
  <si>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</si>
  <si>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</si>
  <si>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</si>
  <si>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</si>
  <si>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</si>
  <si>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</si>
  <si>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</si>
  <si>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</si>
  <si>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</si>
  <si>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</si>
  <si>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</si>
  <si>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</si>
  <si>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</si>
  <si>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</si>
  <si>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</si>
  <si>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</si>
  <si>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</si>
  <si>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</si>
  <si>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</si>
  <si>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</si>
  <si>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</si>
  <si>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</si>
  <si>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</si>
  <si>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</si>
  <si>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</si>
  <si>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</si>
  <si>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</si>
  <si>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</si>
  <si>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</si>
  <si>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</si>
  <si>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</si>
  <si>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</si>
  <si>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</si>
  <si>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</si>
  <si>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</si>
  <si>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</si>
  <si>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</si>
  <si>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</si>
  <si>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</si>
  <si>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</si>
  <si>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</si>
  <si>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</si>
  <si>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</si>
  <si>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</si>
  <si>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</si>
  <si>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</si>
  <si>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</si>
  <si>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</si>
  <si>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</si>
  <si>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</si>
  <si>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</si>
  <si>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</si>
  <si>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</si>
  <si>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</si>
  <si>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</si>
  <si>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</si>
  <si>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</si>
  <si>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</si>
  <si>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</si>
  <si>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</si>
  <si>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</si>
  <si>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</si>
  <si>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</si>
  <si>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</si>
  <si>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</si>
  <si>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</si>
  <si>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</si>
  <si>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</si>
  <si>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</si>
  <si>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</si>
  <si>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</si>
  <si>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</si>
  <si>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</si>
  <si>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</si>
  <si>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</si>
  <si>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</si>
  <si>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</si>
  <si>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</si>
  <si>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</si>
  <si>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</si>
  <si>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</si>
  <si>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</si>
  <si>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</si>
  <si>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</si>
  <si>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</si>
  <si>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</si>
  <si>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</si>
  <si>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</si>
  <si>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</si>
  <si>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</si>
  <si>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</si>
  <si>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</si>
  <si>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</si>
  <si>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</si>
  <si>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</si>
  <si>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</si>
  <si>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</si>
  <si>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</si>
  <si>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</si>
  <si>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</si>
  <si>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</si>
  <si>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</si>
  <si>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</si>
  <si>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</si>
  <si>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</si>
  <si>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</si>
  <si>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</si>
  <si>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</si>
  <si>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</si>
  <si>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</si>
  <si>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</si>
  <si>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</si>
  <si>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</si>
  <si>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</si>
  <si>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</si>
  <si>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</si>
  <si>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</si>
  <si>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</si>
  <si>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</si>
  <si>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</si>
  <si>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</si>
  <si>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</si>
  <si>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</si>
  <si>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</si>
  <si>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</si>
  <si>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</si>
  <si>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</si>
  <si>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</si>
  <si>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</si>
  <si>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</si>
  <si>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</si>
  <si>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</si>
  <si>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</si>
  <si>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</si>
  <si>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</si>
  <si>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</si>
  <si>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</si>
  <si>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</si>
  <si>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</si>
  <si>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</si>
  <si>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</si>
  <si>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</si>
  <si>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</si>
  <si>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</si>
  <si>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</si>
  <si>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</si>
  <si>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</si>
  <si>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</si>
  <si>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</si>
  <si>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</si>
  <si>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</si>
  <si>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</si>
  <si>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</si>
  <si>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</si>
  <si>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</si>
  <si>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</si>
  <si>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</si>
  <si>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</si>
  <si>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</si>
  <si>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</si>
  <si>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</si>
  <si>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</si>
  <si>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</si>
  <si>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</si>
  <si>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</si>
  <si>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</si>
  <si>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</si>
  <si>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</si>
  <si>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</si>
  <si>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</si>
  <si>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</si>
  <si>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</si>
  <si>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</si>
  <si>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</si>
  <si>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</si>
  <si>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</si>
  <si>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</si>
  <si>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</si>
  <si>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</si>
  <si>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</si>
  <si>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</si>
  <si>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</si>
  <si>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</si>
  <si>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</si>
  <si>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</si>
  <si>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</si>
  <si>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</si>
  <si>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</si>
  <si>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</si>
  <si>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</si>
  <si>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</si>
  <si>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</si>
  <si>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</si>
  <si>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</si>
  <si>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</si>
  <si>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</si>
  <si>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</si>
  <si>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</si>
  <si>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</si>
  <si>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</si>
  <si>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</si>
  <si>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</si>
  <si>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</si>
  <si>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</si>
  <si>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</si>
  <si>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</si>
  <si>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</si>
  <si>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</si>
  <si>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</si>
  <si>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</si>
  <si>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</si>
  <si>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</si>
  <si>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</si>
  <si>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</si>
  <si>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</si>
  <si>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</si>
  <si>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</si>
  <si>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</si>
  <si>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</si>
  <si>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</si>
  <si>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</si>
  <si>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</si>
  <si>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</si>
  <si>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</si>
  <si>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</si>
  <si>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</si>
  <si>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</si>
  <si>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</si>
  <si>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</si>
  <si>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</si>
  <si>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</si>
  <si>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</si>
  <si>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</si>
  <si>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</si>
  <si>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</si>
  <si>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</si>
  <si>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</si>
  <si>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</si>
  <si>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</si>
  <si>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</si>
  <si>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</si>
  <si>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</si>
  <si>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</si>
  <si>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</si>
  <si>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</si>
  <si>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</si>
  <si>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</si>
  <si>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</si>
  <si>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</si>
  <si>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</si>
  <si>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</si>
  <si>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</si>
  <si>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</si>
  <si>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</si>
  <si>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</si>
  <si>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</si>
  <si>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</si>
  <si>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</si>
  <si>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</si>
  <si>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</si>
  <si>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</si>
  <si>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</si>
  <si>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</si>
  <si>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</si>
  <si>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</si>
  <si>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</si>
  <si>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</si>
  <si>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</si>
  <si>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</si>
  <si>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</si>
  <si>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</si>
  <si>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</si>
  <si>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</si>
  <si>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</si>
  <si>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</si>
  <si>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</si>
  <si>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</si>
  <si>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</si>
  <si>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</si>
  <si>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</si>
  <si>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</si>
  <si>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</si>
  <si>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</si>
  <si>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</si>
  <si>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</si>
  <si>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</si>
  <si>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</si>
  <si>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</si>
  <si>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</si>
  <si>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</si>
  <si>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</si>
  <si>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</si>
  <si>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</si>
  <si>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</si>
  <si>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</si>
  <si>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</si>
  <si>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</si>
  <si>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</si>
  <si>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</si>
  <si>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</si>
  <si>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</si>
  <si>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</si>
  <si>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</si>
  <si>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</si>
  <si>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</si>
  <si>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</si>
  <si>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</si>
  <si>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</si>
  <si>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</si>
  <si>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</si>
  <si>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</si>
  <si>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</si>
  <si>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</si>
  <si>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</si>
  <si>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</si>
  <si>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</si>
  <si>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</si>
  <si>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</si>
  <si>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</si>
  <si>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</si>
  <si>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</si>
  <si>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</si>
  <si>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</si>
  <si>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</si>
  <si>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</si>
  <si>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</si>
  <si>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</si>
  <si>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</si>
  <si>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</si>
  <si>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</si>
  <si>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</si>
  <si>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</si>
  <si>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</si>
  <si>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</si>
  <si>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</si>
  <si>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</si>
  <si>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</si>
  <si>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</si>
  <si>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</si>
  <si>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</si>
  <si>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</si>
  <si>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</si>
  <si>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</si>
  <si>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</si>
  <si>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</si>
  <si>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</si>
  <si>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</si>
  <si>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</si>
  <si>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</si>
  <si>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</si>
  <si>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</si>
  <si>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</si>
  <si>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</si>
  <si>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</si>
  <si>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</si>
  <si>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</si>
  <si>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</si>
  <si>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</si>
  <si>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</si>
  <si>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</si>
  <si>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</si>
  <si>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</si>
  <si>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</si>
  <si>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</si>
  <si>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</si>
  <si>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</si>
  <si>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</si>
  <si>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</si>
  <si>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</si>
  <si>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</si>
  <si>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11052</t>
  </si>
  <si>
    <t>WOMMELGEM</t>
  </si>
  <si>
    <t>Paarden&amp;pony's 200 - 600 kg</t>
  </si>
  <si>
    <t>Paarden&amp;pony's &lt; 200 kg</t>
  </si>
  <si>
    <t>referentietaak LNE (2017); Jaarverslag De Lijn (2015)</t>
  </si>
  <si>
    <t>op basis van VEA (maart 2018) en Inventaris Hernieuwbare Energiebronnen (juni 2018)</t>
  </si>
  <si>
    <t>VEA (januari 2017)</t>
  </si>
  <si>
    <t>VEA (juni 2018)</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</si>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</sst>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88451.911894819437</c:v>
                </c:pt>
                <c:pt idx="1">
                  <c:v>74241.664095540706</c:v>
                </c:pt>
                <c:pt idx="2">
                  <c:v>876.12300000000005</c:v>
                </c:pt>
                <c:pt idx="3">
                  <c:v>12025.304586366594</c:v>
                </c:pt>
                <c:pt idx="4">
                  <c:v>116698.431579239</c:v>
                </c:pt>
                <c:pt idx="5">
                  <c:v>255899.73226391402</c:v>
                </c:pt>
                <c:pt idx="6">
                  <c:v>2385.8582620674833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50720"/>
        <c:axId val="183972992"/>
      </c:barChart>
      <c:catAx>
        <c:axId val="183950720"/>
        <c:scaling>
          <c:orientation val="minMax"/>
        </c:scaling>
        <c:axPos val="b"/>
        <c:numFmt formatCode="General" sourceLinked="0"/>
        <c:tickLblPos val="nextTo"/>
        <c:crossAx val="183972992"/>
        <c:crosses val="autoZero"/>
        <c:auto val="1"/>
        <c:lblAlgn val="ctr"/>
        <c:lblOffset val="100"/>
      </c:catAx>
      <c:valAx>
        <c:axId val="183972992"/>
        <c:scaling>
          <c:orientation val="minMax"/>
        </c:scaling>
        <c:axPos val="l"/>
        <c:majorGridlines/>
        <c:numFmt formatCode="#,##0" sourceLinked="1"/>
        <c:tickLblPos val="nextTo"/>
        <c:crossAx val="1839507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88451.911894819437</c:v>
                </c:pt>
                <c:pt idx="1">
                  <c:v>74241.664095540706</c:v>
                </c:pt>
                <c:pt idx="2">
                  <c:v>876.12300000000005</c:v>
                </c:pt>
                <c:pt idx="3">
                  <c:v>12025.304586366594</c:v>
                </c:pt>
                <c:pt idx="4">
                  <c:v>116698.431579239</c:v>
                </c:pt>
                <c:pt idx="5">
                  <c:v>255899.73226391402</c:v>
                </c:pt>
                <c:pt idx="6">
                  <c:v>2385.8582620674833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16870.785741277527</c:v>
                </c:pt>
                <c:pt idx="1">
                  <c:v>15325.88773891558</c:v>
                </c:pt>
                <c:pt idx="2">
                  <c:v>187.08021214537564</c:v>
                </c:pt>
                <c:pt idx="3">
                  <c:v>2896.8932529579411</c:v>
                </c:pt>
                <c:pt idx="4">
                  <c:v>22599.730955931213</c:v>
                </c:pt>
                <c:pt idx="5">
                  <c:v>65682.245426042762</c:v>
                </c:pt>
                <c:pt idx="6">
                  <c:v>617.85953544674578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406016"/>
      </c:barChart>
      <c:catAx>
        <c:axId val="184322304"/>
        <c:scaling>
          <c:orientation val="minMax"/>
        </c:scaling>
        <c:axPos val="b"/>
        <c:numFmt formatCode="General" sourceLinked="0"/>
        <c:tickLblPos val="nextTo"/>
        <c:crossAx val="184406016"/>
        <c:crosses val="autoZero"/>
        <c:auto val="1"/>
        <c:lblAlgn val="ctr"/>
        <c:lblOffset val="100"/>
      </c:catAx>
      <c:valAx>
        <c:axId val="184406016"/>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16870.785741277527</c:v>
                </c:pt>
                <c:pt idx="1">
                  <c:v>15325.88773891558</c:v>
                </c:pt>
                <c:pt idx="2">
                  <c:v>187.08021214537564</c:v>
                </c:pt>
                <c:pt idx="3">
                  <c:v>2896.8932529579411</c:v>
                </c:pt>
                <c:pt idx="4">
                  <c:v>22599.730955931213</c:v>
                </c:pt>
                <c:pt idx="5">
                  <c:v>65682.245426042762</c:v>
                </c:pt>
                <c:pt idx="6">
                  <c:v>617.85953544674578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11052</v>
      </c>
      <c r="B6" s="415"/>
      <c r="C6" s="416"/>
    </row>
    <row r="7" spans="1:7" s="413" customFormat="1" ht="15.75" customHeight="1">
      <c r="A7" s="417" t="str">
        <f>txtMunicipality</f>
        <v>WOMMELGEM</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11052</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5100</v>
      </c>
      <c r="C9" s="342">
        <v>5289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340.61</v>
      </c>
    </row>
    <row r="15" spans="1:6">
      <c r="A15" s="348" t="s">
        <v>184</v>
      </c>
      <c r="B15" s="334">
        <v>0</v>
      </c>
    </row>
    <row r="16" spans="1:6">
      <c r="A16" s="348" t="s">
        <v>6</v>
      </c>
      <c r="B16" s="334">
        <v>0</v>
      </c>
    </row>
    <row r="17" spans="1:6">
      <c r="A17" s="348" t="s">
        <v>7</v>
      </c>
      <c r="B17" s="334">
        <v>20</v>
      </c>
    </row>
    <row r="18" spans="1:6">
      <c r="A18" s="348" t="s">
        <v>8</v>
      </c>
      <c r="B18" s="334">
        <v>16</v>
      </c>
    </row>
    <row r="19" spans="1:6">
      <c r="A19" s="348" t="s">
        <v>9</v>
      </c>
      <c r="B19" s="334">
        <v>12</v>
      </c>
    </row>
    <row r="20" spans="1:6">
      <c r="A20" s="348" t="s">
        <v>10</v>
      </c>
      <c r="B20" s="334">
        <v>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63</v>
      </c>
    </row>
    <row r="27" spans="1:6">
      <c r="A27" s="348" t="s">
        <v>17</v>
      </c>
      <c r="B27" s="334">
        <v>0</v>
      </c>
    </row>
    <row r="28" spans="1:6" s="356" customFormat="1">
      <c r="A28" s="355" t="s">
        <v>18</v>
      </c>
      <c r="B28" s="355">
        <v>0</v>
      </c>
    </row>
    <row r="29" spans="1:6">
      <c r="A29" s="355" t="s">
        <v>849</v>
      </c>
      <c r="B29" s="355">
        <v>33</v>
      </c>
      <c r="C29" s="356"/>
      <c r="D29" s="356"/>
      <c r="E29" s="356"/>
      <c r="F29" s="356"/>
    </row>
    <row r="30" spans="1:6">
      <c r="A30" s="355" t="s">
        <v>850</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866.45472685000004</v>
      </c>
      <c r="E38" s="334">
        <v>4</v>
      </c>
      <c r="F38" s="334">
        <v>18141</v>
      </c>
    </row>
    <row r="39" spans="1:6">
      <c r="A39" s="348" t="s">
        <v>30</v>
      </c>
      <c r="B39" s="348" t="s">
        <v>31</v>
      </c>
      <c r="C39" s="334">
        <v>4186</v>
      </c>
      <c r="D39" s="334">
        <v>65849274.538999997</v>
      </c>
      <c r="E39" s="334">
        <v>5139</v>
      </c>
      <c r="F39" s="334">
        <v>19081770.754999999</v>
      </c>
    </row>
    <row r="40" spans="1:6">
      <c r="A40" s="348" t="s">
        <v>30</v>
      </c>
      <c r="B40" s="348" t="s">
        <v>29</v>
      </c>
      <c r="C40" s="334">
        <v>0</v>
      </c>
      <c r="D40" s="334">
        <v>0</v>
      </c>
      <c r="E40" s="334">
        <v>0</v>
      </c>
      <c r="F40" s="334">
        <v>0</v>
      </c>
    </row>
    <row r="41" spans="1:6">
      <c r="A41" s="348" t="s">
        <v>32</v>
      </c>
      <c r="B41" s="348" t="s">
        <v>33</v>
      </c>
      <c r="C41" s="334">
        <v>77</v>
      </c>
      <c r="D41" s="334">
        <v>1967981.3714000001</v>
      </c>
      <c r="E41" s="334">
        <v>138</v>
      </c>
      <c r="F41" s="334">
        <v>1459102.7829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430322.83953</v>
      </c>
      <c r="E44" s="334">
        <v>21</v>
      </c>
      <c r="F44" s="334">
        <v>547716.78989000001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3067900.2913000002</v>
      </c>
      <c r="E47" s="334">
        <v>7</v>
      </c>
      <c r="F47" s="334">
        <v>3424914.5839999998</v>
      </c>
    </row>
    <row r="48" spans="1:6">
      <c r="A48" s="348" t="s">
        <v>32</v>
      </c>
      <c r="B48" s="348" t="s">
        <v>29</v>
      </c>
      <c r="C48" s="334">
        <v>20</v>
      </c>
      <c r="D48" s="334">
        <v>52557203.961999997</v>
      </c>
      <c r="E48" s="334">
        <v>39</v>
      </c>
      <c r="F48" s="334">
        <v>4982299.9378000004</v>
      </c>
    </row>
    <row r="49" spans="1:6">
      <c r="A49" s="348" t="s">
        <v>32</v>
      </c>
      <c r="B49" s="348" t="s">
        <v>40</v>
      </c>
      <c r="C49" s="334">
        <v>0</v>
      </c>
      <c r="D49" s="334">
        <v>0</v>
      </c>
      <c r="E49" s="334">
        <v>0</v>
      </c>
      <c r="F49" s="334">
        <v>0</v>
      </c>
    </row>
    <row r="50" spans="1:6">
      <c r="A50" s="348" t="s">
        <v>32</v>
      </c>
      <c r="B50" s="348" t="s">
        <v>41</v>
      </c>
      <c r="C50" s="334">
        <v>8</v>
      </c>
      <c r="D50" s="334">
        <v>21353291.011</v>
      </c>
      <c r="E50" s="334">
        <v>9</v>
      </c>
      <c r="F50" s="334">
        <v>19331637.482000001</v>
      </c>
    </row>
    <row r="51" spans="1:6">
      <c r="A51" s="348" t="s">
        <v>42</v>
      </c>
      <c r="B51" s="348" t="s">
        <v>43</v>
      </c>
      <c r="C51" s="334">
        <v>3</v>
      </c>
      <c r="D51" s="334">
        <v>12477587.898</v>
      </c>
      <c r="E51" s="334">
        <v>13</v>
      </c>
      <c r="F51" s="334">
        <v>360086.54986999999</v>
      </c>
    </row>
    <row r="52" spans="1:6">
      <c r="A52" s="348" t="s">
        <v>42</v>
      </c>
      <c r="B52" s="348" t="s">
        <v>29</v>
      </c>
      <c r="C52" s="334">
        <v>5</v>
      </c>
      <c r="D52" s="334">
        <v>104924.69914</v>
      </c>
      <c r="E52" s="334">
        <v>6</v>
      </c>
      <c r="F52" s="334">
        <v>32431.509988999998</v>
      </c>
    </row>
    <row r="53" spans="1:6">
      <c r="A53" s="348" t="s">
        <v>44</v>
      </c>
      <c r="B53" s="348" t="s">
        <v>45</v>
      </c>
      <c r="C53" s="334">
        <v>106</v>
      </c>
      <c r="D53" s="334">
        <v>2245480.7622000002</v>
      </c>
      <c r="E53" s="334">
        <v>232</v>
      </c>
      <c r="F53" s="334">
        <v>852886.61482000002</v>
      </c>
    </row>
    <row r="54" spans="1:6">
      <c r="A54" s="348" t="s">
        <v>46</v>
      </c>
      <c r="B54" s="348" t="s">
        <v>47</v>
      </c>
      <c r="C54" s="334">
        <v>0</v>
      </c>
      <c r="D54" s="334">
        <v>0</v>
      </c>
      <c r="E54" s="334">
        <v>1</v>
      </c>
      <c r="F54" s="334">
        <v>876123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1312353.0754</v>
      </c>
      <c r="E57" s="334">
        <v>52</v>
      </c>
      <c r="F57" s="334">
        <v>2071579.3014</v>
      </c>
    </row>
    <row r="58" spans="1:6">
      <c r="A58" s="348" t="s">
        <v>49</v>
      </c>
      <c r="B58" s="348" t="s">
        <v>51</v>
      </c>
      <c r="C58" s="334">
        <v>9</v>
      </c>
      <c r="D58" s="334">
        <v>148206.18450999999</v>
      </c>
      <c r="E58" s="334">
        <v>11</v>
      </c>
      <c r="F58" s="334">
        <v>65686.891497000004</v>
      </c>
    </row>
    <row r="59" spans="1:6">
      <c r="A59" s="348" t="s">
        <v>49</v>
      </c>
      <c r="B59" s="348" t="s">
        <v>52</v>
      </c>
      <c r="C59" s="334">
        <v>160</v>
      </c>
      <c r="D59" s="334">
        <v>9840330.0118000004</v>
      </c>
      <c r="E59" s="334">
        <v>270</v>
      </c>
      <c r="F59" s="334">
        <v>13280253.358999999</v>
      </c>
    </row>
    <row r="60" spans="1:6">
      <c r="A60" s="348" t="s">
        <v>49</v>
      </c>
      <c r="B60" s="348" t="s">
        <v>53</v>
      </c>
      <c r="C60" s="334">
        <v>38</v>
      </c>
      <c r="D60" s="334">
        <v>1689262.8492999999</v>
      </c>
      <c r="E60" s="334">
        <v>47</v>
      </c>
      <c r="F60" s="334">
        <v>889738.51479000004</v>
      </c>
    </row>
    <row r="61" spans="1:6">
      <c r="A61" s="348" t="s">
        <v>49</v>
      </c>
      <c r="B61" s="348" t="s">
        <v>54</v>
      </c>
      <c r="C61" s="334">
        <v>134</v>
      </c>
      <c r="D61" s="334">
        <v>6475501.5138999997</v>
      </c>
      <c r="E61" s="334">
        <v>263</v>
      </c>
      <c r="F61" s="334">
        <v>5581730.7148000002</v>
      </c>
    </row>
    <row r="62" spans="1:6">
      <c r="A62" s="348" t="s">
        <v>49</v>
      </c>
      <c r="B62" s="348" t="s">
        <v>55</v>
      </c>
      <c r="C62" s="334">
        <v>3</v>
      </c>
      <c r="D62" s="334">
        <v>791354.38907999999</v>
      </c>
      <c r="E62" s="334">
        <v>3</v>
      </c>
      <c r="F62" s="334">
        <v>98082</v>
      </c>
    </row>
    <row r="63" spans="1:6">
      <c r="A63" s="348" t="s">
        <v>49</v>
      </c>
      <c r="B63" s="348" t="s">
        <v>29</v>
      </c>
      <c r="C63" s="334">
        <v>109</v>
      </c>
      <c r="D63" s="334">
        <v>18025583.112</v>
      </c>
      <c r="E63" s="334">
        <v>129</v>
      </c>
      <c r="F63" s="334">
        <v>7757576.3576999996</v>
      </c>
    </row>
    <row r="64" spans="1:6">
      <c r="A64" s="348" t="s">
        <v>56</v>
      </c>
      <c r="B64" s="348" t="s">
        <v>57</v>
      </c>
      <c r="C64" s="334">
        <v>0</v>
      </c>
      <c r="D64" s="334">
        <v>0</v>
      </c>
      <c r="E64" s="334">
        <v>0</v>
      </c>
      <c r="F64" s="334">
        <v>0</v>
      </c>
    </row>
    <row r="65" spans="1:6">
      <c r="A65" s="348" t="s">
        <v>56</v>
      </c>
      <c r="B65" s="348" t="s">
        <v>29</v>
      </c>
      <c r="C65" s="334">
        <v>1</v>
      </c>
      <c r="D65" s="334">
        <v>40818.955387000002</v>
      </c>
      <c r="E65" s="334">
        <v>2</v>
      </c>
      <c r="F65" s="334">
        <v>1461.9401253999999</v>
      </c>
    </row>
    <row r="66" spans="1:6">
      <c r="A66" s="348" t="s">
        <v>56</v>
      </c>
      <c r="B66" s="348" t="s">
        <v>58</v>
      </c>
      <c r="C66" s="334">
        <v>0</v>
      </c>
      <c r="D66" s="334">
        <v>0</v>
      </c>
      <c r="E66" s="334">
        <v>12</v>
      </c>
      <c r="F66" s="334">
        <v>356119.05508999998</v>
      </c>
    </row>
    <row r="67" spans="1:6">
      <c r="A67" s="355" t="s">
        <v>56</v>
      </c>
      <c r="B67" s="355" t="s">
        <v>59</v>
      </c>
      <c r="C67" s="334">
        <v>11</v>
      </c>
      <c r="D67" s="334">
        <v>1873815.7623999999</v>
      </c>
      <c r="E67" s="334">
        <v>39</v>
      </c>
      <c r="F67" s="334">
        <v>676196.17900999996</v>
      </c>
    </row>
    <row r="68" spans="1:6">
      <c r="A68" s="341" t="s">
        <v>56</v>
      </c>
      <c r="B68" s="341" t="s">
        <v>60</v>
      </c>
      <c r="C68" s="334">
        <v>8</v>
      </c>
      <c r="D68" s="334">
        <v>637468.82397000003</v>
      </c>
      <c r="E68" s="334">
        <v>21</v>
      </c>
      <c r="F68" s="334">
        <v>396098.67320000002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34196632</v>
      </c>
      <c r="E73" s="476">
        <v>31715439.356178004</v>
      </c>
    </row>
    <row r="74" spans="1:6">
      <c r="A74" s="348" t="s">
        <v>64</v>
      </c>
      <c r="B74" s="348" t="s">
        <v>667</v>
      </c>
      <c r="C74" s="1271" t="s">
        <v>669</v>
      </c>
      <c r="D74" s="476">
        <v>3357212.4987120675</v>
      </c>
      <c r="E74" s="476">
        <v>3257475.537645312</v>
      </c>
    </row>
    <row r="75" spans="1:6">
      <c r="A75" s="348" t="s">
        <v>65</v>
      </c>
      <c r="B75" s="348" t="s">
        <v>666</v>
      </c>
      <c r="C75" s="1271" t="s">
        <v>670</v>
      </c>
      <c r="D75" s="476">
        <v>11097515</v>
      </c>
      <c r="E75" s="476">
        <v>10176107.656212844</v>
      </c>
    </row>
    <row r="76" spans="1:6">
      <c r="A76" s="348" t="s">
        <v>65</v>
      </c>
      <c r="B76" s="348" t="s">
        <v>667</v>
      </c>
      <c r="C76" s="1271" t="s">
        <v>671</v>
      </c>
      <c r="D76" s="476">
        <v>1174894.4987120673</v>
      </c>
      <c r="E76" s="476">
        <v>1139576.7311457361</v>
      </c>
    </row>
    <row r="77" spans="1:6">
      <c r="A77" s="348" t="s">
        <v>66</v>
      </c>
      <c r="B77" s="348" t="s">
        <v>666</v>
      </c>
      <c r="C77" s="1271" t="s">
        <v>672</v>
      </c>
      <c r="D77" s="476">
        <v>170649069</v>
      </c>
      <c r="E77" s="476">
        <v>177685798.9325479</v>
      </c>
    </row>
    <row r="78" spans="1:6">
      <c r="A78" s="341" t="s">
        <v>66</v>
      </c>
      <c r="B78" s="341" t="s">
        <v>667</v>
      </c>
      <c r="C78" s="341" t="s">
        <v>673</v>
      </c>
      <c r="D78" s="1272">
        <v>37434331</v>
      </c>
      <c r="E78" s="1272">
        <v>38421277.023954362</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640809.00257586548</v>
      </c>
      <c r="C83" s="476">
        <v>640809.00257586548</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2214.5729970538873</v>
      </c>
    </row>
    <row r="92" spans="1:6">
      <c r="A92" s="341" t="s">
        <v>69</v>
      </c>
      <c r="B92" s="342">
        <v>3155.5407809064272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3049</v>
      </c>
    </row>
    <row r="98" spans="1:6">
      <c r="A98" s="348" t="s">
        <v>72</v>
      </c>
      <c r="B98" s="334">
        <v>2</v>
      </c>
    </row>
    <row r="99" spans="1:6">
      <c r="A99" s="348" t="s">
        <v>73</v>
      </c>
      <c r="B99" s="334">
        <v>32</v>
      </c>
    </row>
    <row r="100" spans="1:6">
      <c r="A100" s="348" t="s">
        <v>74</v>
      </c>
      <c r="B100" s="334">
        <v>376</v>
      </c>
    </row>
    <row r="101" spans="1:6">
      <c r="A101" s="348" t="s">
        <v>75</v>
      </c>
      <c r="B101" s="334">
        <v>46</v>
      </c>
    </row>
    <row r="102" spans="1:6">
      <c r="A102" s="348" t="s">
        <v>76</v>
      </c>
      <c r="B102" s="334">
        <v>41</v>
      </c>
    </row>
    <row r="103" spans="1:6">
      <c r="A103" s="348" t="s">
        <v>77</v>
      </c>
      <c r="B103" s="334">
        <v>57</v>
      </c>
    </row>
    <row r="104" spans="1:6">
      <c r="A104" s="348" t="s">
        <v>78</v>
      </c>
      <c r="B104" s="334">
        <v>856</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95</v>
      </c>
    </row>
    <row r="130" spans="1:6">
      <c r="A130" s="348" t="s">
        <v>295</v>
      </c>
      <c r="B130" s="334">
        <v>1</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100996.9066336222</v>
      </c>
      <c r="C3" s="43" t="s">
        <v>170</v>
      </c>
      <c r="D3" s="43"/>
      <c r="E3" s="154"/>
      <c r="F3" s="43"/>
      <c r="G3" s="43"/>
      <c r="H3" s="43"/>
      <c r="I3" s="43"/>
      <c r="J3" s="43"/>
      <c r="K3" s="96"/>
    </row>
    <row r="4" spans="1:11">
      <c r="A4" s="383" t="s">
        <v>171</v>
      </c>
      <c r="B4" s="49">
        <f>IF(ISERROR('SEAP template'!B69),0,'SEAP template'!B69)</f>
        <v>31353.113777960316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6174.783529411764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0.2135319037913348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8821.119327731094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37118.571428571428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876.12300000000005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876.12300000000005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0.2135319037913348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187.08021214537564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19081.770754999998</v>
      </c>
      <c r="C5" s="17">
        <f>IF(ISERROR('Eigen informatie GS &amp; warmtenet'!B57),0,'Eigen informatie GS &amp; warmtenet'!B57)</f>
        <v>0</v>
      </c>
      <c r="D5" s="30">
        <f>(SUM(HH_hh_gas_kWh,HH_rest_gas_kWh)/1000)*0.902</f>
        <v>59396.045634177994</v>
      </c>
      <c r="E5" s="17">
        <f>B46*B57</f>
        <v>1433.1969075013599</v>
      </c>
      <c r="F5" s="17">
        <f>B51*B62</f>
        <v>0</v>
      </c>
      <c r="G5" s="18"/>
      <c r="H5" s="17"/>
      <c r="I5" s="17"/>
      <c r="J5" s="17">
        <f>B50*B61+C50*C61</f>
        <v>0</v>
      </c>
      <c r="K5" s="17"/>
      <c r="L5" s="17"/>
      <c r="M5" s="17"/>
      <c r="N5" s="17">
        <f>B48*B59+C48*C59</f>
        <v>5851.1622677528685</v>
      </c>
      <c r="O5" s="17">
        <f>B69*B70*B71</f>
        <v>189.16333333333336</v>
      </c>
      <c r="P5" s="17">
        <f>B77*B78*B79/1000-B77*B78*B79/1000/B80</f>
        <v>286</v>
      </c>
    </row>
    <row r="6" spans="1:16">
      <c r="A6" s="16" t="s">
        <v>624</v>
      </c>
      <c r="B6" s="843">
        <f>kWh_PV_kleiner_dan_10kW</f>
        <v>2214.5729970538873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21296.343752053886</v>
      </c>
      <c r="C8" s="21">
        <f>C5</f>
        <v>0</v>
      </c>
      <c r="D8" s="21">
        <f>D5</f>
        <v>59396.045634177994</v>
      </c>
      <c r="E8" s="21">
        <f>E5</f>
        <v>1433.1969075013599</v>
      </c>
      <c r="F8" s="21">
        <f>F5</f>
        <v>0</v>
      </c>
      <c r="G8" s="21"/>
      <c r="H8" s="21"/>
      <c r="I8" s="21"/>
      <c r="J8" s="21">
        <f>J5</f>
        <v>0</v>
      </c>
      <c r="K8" s="21"/>
      <c r="L8" s="21">
        <f>L5</f>
        <v>0</v>
      </c>
      <c r="M8" s="21">
        <f>M5</f>
        <v>0</v>
      </c>
      <c r="N8" s="21">
        <f>N5</f>
        <v>5851.1622677528685</v>
      </c>
      <c r="O8" s="21">
        <f>O5</f>
        <v>189.16333333333336</v>
      </c>
      <c r="P8" s="21">
        <f>P5</f>
        <v>286</v>
      </c>
    </row>
    <row r="9" spans="1:16">
      <c r="B9" s="19"/>
      <c r="C9" s="19"/>
      <c r="D9" s="258"/>
      <c r="E9" s="19"/>
      <c r="F9" s="19"/>
      <c r="G9" s="19"/>
      <c r="H9" s="19"/>
      <c r="I9" s="19"/>
      <c r="J9" s="19"/>
      <c r="K9" s="19"/>
      <c r="L9" s="19"/>
      <c r="M9" s="19"/>
      <c r="N9" s="19"/>
      <c r="O9" s="19"/>
      <c r="P9" s="19"/>
    </row>
    <row r="10" spans="1:16">
      <c r="A10" s="24" t="s">
        <v>214</v>
      </c>
      <c r="B10" s="25">
        <f ca="1">'EF ele_warmte'!B12</f>
        <v>0.2135319037913348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4547.4488251707644</v>
      </c>
      <c r="C12" s="23">
        <f ca="1">C10*C8</f>
        <v>0</v>
      </c>
      <c r="D12" s="23">
        <f>D8*D10</f>
        <v>11998.001218103955</v>
      </c>
      <c r="E12" s="23">
        <f>E10*E8</f>
        <v>325.33569800280873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3049</v>
      </c>
      <c r="C18" s="166" t="s">
        <v>111</v>
      </c>
      <c r="D18" s="228"/>
      <c r="E18" s="15"/>
    </row>
    <row r="19" spans="1:7">
      <c r="A19" s="171" t="s">
        <v>72</v>
      </c>
      <c r="B19" s="37">
        <f>aantalw2001_ander</f>
        <v>2</v>
      </c>
      <c r="C19" s="166" t="s">
        <v>111</v>
      </c>
      <c r="D19" s="229"/>
      <c r="E19" s="15"/>
    </row>
    <row r="20" spans="1:7">
      <c r="A20" s="171" t="s">
        <v>73</v>
      </c>
      <c r="B20" s="37">
        <f>aantalw2001_propaan</f>
        <v>32</v>
      </c>
      <c r="C20" s="167">
        <f>IF(ISERROR(B20/SUM($B$20,$B$21,$B$22)*100),0,B20/SUM($B$20,$B$21,$B$22)*100)</f>
        <v>7.0484581497797363</v>
      </c>
      <c r="D20" s="229"/>
      <c r="E20" s="15"/>
    </row>
    <row r="21" spans="1:7">
      <c r="A21" s="171" t="s">
        <v>74</v>
      </c>
      <c r="B21" s="37">
        <f>aantalw2001_elektriciteit</f>
        <v>376</v>
      </c>
      <c r="C21" s="167">
        <f>IF(ISERROR(B21/SUM($B$20,$B$21,$B$22)*100),0,B21/SUM($B$20,$B$21,$B$22)*100)</f>
        <v>82.819383259911888</v>
      </c>
      <c r="D21" s="229"/>
      <c r="E21" s="15"/>
    </row>
    <row r="22" spans="1:7">
      <c r="A22" s="171" t="s">
        <v>75</v>
      </c>
      <c r="B22" s="37">
        <f>aantalw2001_hout</f>
        <v>46</v>
      </c>
      <c r="C22" s="167">
        <f>IF(ISERROR(B22/SUM($B$20,$B$21,$B$22)*100),0,B22/SUM($B$20,$B$21,$B$22)*100)</f>
        <v>10.13215859030837</v>
      </c>
      <c r="D22" s="229"/>
      <c r="E22" s="15"/>
    </row>
    <row r="23" spans="1:7">
      <c r="A23" s="171" t="s">
        <v>76</v>
      </c>
      <c r="B23" s="37">
        <f>aantalw2001_niet_gespec</f>
        <v>41</v>
      </c>
      <c r="C23" s="166" t="s">
        <v>111</v>
      </c>
      <c r="D23" s="228"/>
      <c r="E23" s="15"/>
    </row>
    <row r="24" spans="1:7">
      <c r="A24" s="171" t="s">
        <v>77</v>
      </c>
      <c r="B24" s="37">
        <f>aantalw2001_steenkool</f>
        <v>57</v>
      </c>
      <c r="C24" s="166" t="s">
        <v>111</v>
      </c>
      <c r="D24" s="229"/>
      <c r="E24" s="15"/>
    </row>
    <row r="25" spans="1:7">
      <c r="A25" s="171" t="s">
        <v>78</v>
      </c>
      <c r="B25" s="37">
        <f>aantalw2001_stookolie</f>
        <v>856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5100</v>
      </c>
      <c r="C28" s="36"/>
      <c r="D28" s="228"/>
    </row>
    <row r="29" spans="1:7" s="15" customFormat="1">
      <c r="A29" s="230" t="s">
        <v>699</v>
      </c>
      <c r="B29" s="37">
        <f>SUM(HH_hh_gas_aantal,HH_rest_gas_aantal)</f>
        <v>4186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4186</v>
      </c>
      <c r="C32" s="167">
        <f>IF(ISERROR(B32/SUM($B$32,$B$34,$B$35,$B$36,$B$38,$B$39)*100),0,B32/SUM($B$32,$B$34,$B$35,$B$36,$B$38,$B$39)*100)</f>
        <v>82.320550639134709</v>
      </c>
      <c r="D32" s="233"/>
      <c r="G32" s="15"/>
    </row>
    <row r="33" spans="1:7">
      <c r="A33" s="171" t="s">
        <v>72</v>
      </c>
      <c r="B33" s="34" t="s">
        <v>111</v>
      </c>
      <c r="C33" s="167"/>
      <c r="D33" s="233"/>
      <c r="G33" s="15"/>
    </row>
    <row r="34" spans="1:7">
      <c r="A34" s="171" t="s">
        <v>73</v>
      </c>
      <c r="B34" s="33">
        <f>IF((($B$28-$B$32-$B$39-$B$77-$B$38)*C20/100)&lt;0,0,($B$28-$B$32-$B$39-$B$77-$B$38)*C20/100)</f>
        <v>63.36563876651983</v>
      </c>
      <c r="C34" s="167">
        <f>IF(ISERROR(B34/SUM($B$32,$B$34,$B$35,$B$36,$B$38,$B$39)*100),0,B34/SUM($B$32,$B$34,$B$35,$B$36,$B$38,$B$39)*100)</f>
        <v>1.246128589312091</v>
      </c>
      <c r="D34" s="233"/>
      <c r="G34" s="15"/>
    </row>
    <row r="35" spans="1:7">
      <c r="A35" s="171" t="s">
        <v>74</v>
      </c>
      <c r="B35" s="33">
        <f>IF((($B$28-$B$32-$B$39-$B$77-$B$38)*C21/100)&lt;0,0,($B$28-$B$32-$B$39-$B$77-$B$38)*C21/100)</f>
        <v>744.54625550660785</v>
      </c>
      <c r="C35" s="167">
        <f>IF(ISERROR(B35/SUM($B$32,$B$34,$B$35,$B$36,$B$38,$B$39)*100),0,B35/SUM($B$32,$B$34,$B$35,$B$36,$B$38,$B$39)*100)</f>
        <v>14.642010924417068</v>
      </c>
      <c r="D35" s="233"/>
      <c r="G35" s="15"/>
    </row>
    <row r="36" spans="1:7">
      <c r="A36" s="171" t="s">
        <v>75</v>
      </c>
      <c r="B36" s="33">
        <f>IF((($B$28-$B$32-$B$39-$B$77-$B$38)*C22/100)&lt;0,0,($B$28-$B$32-$B$39-$B$77-$B$38)*C22/100)</f>
        <v>91.088105726872243</v>
      </c>
      <c r="C36" s="167">
        <f>IF(ISERROR(B36/SUM($B$32,$B$34,$B$35,$B$36,$B$38,$B$39)*100),0,B36/SUM($B$32,$B$34,$B$35,$B$36,$B$38,$B$39)*100)</f>
        <v>1.7913098471361306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4186</v>
      </c>
      <c r="C44" s="34" t="s">
        <v>111</v>
      </c>
      <c r="D44" s="174"/>
    </row>
    <row r="45" spans="1:7">
      <c r="A45" s="171" t="s">
        <v>72</v>
      </c>
      <c r="B45" s="33" t="str">
        <f t="shared" si="0"/>
        <v>-</v>
      </c>
      <c r="C45" s="34" t="s">
        <v>111</v>
      </c>
      <c r="D45" s="174"/>
    </row>
    <row r="46" spans="1:7">
      <c r="A46" s="171" t="s">
        <v>73</v>
      </c>
      <c r="B46" s="33">
        <f t="shared" si="0"/>
        <v>63.36563876651983</v>
      </c>
      <c r="C46" s="34" t="s">
        <v>111</v>
      </c>
      <c r="D46" s="174"/>
    </row>
    <row r="47" spans="1:7">
      <c r="A47" s="171" t="s">
        <v>74</v>
      </c>
      <c r="B47" s="33">
        <f t="shared" si="0"/>
        <v>744.54625550660785</v>
      </c>
      <c r="C47" s="34" t="s">
        <v>111</v>
      </c>
      <c r="D47" s="174"/>
    </row>
    <row r="48" spans="1:7">
      <c r="A48" s="171" t="s">
        <v>75</v>
      </c>
      <c r="B48" s="33">
        <f t="shared" si="0"/>
        <v>91.088105726872243</v>
      </c>
      <c r="C48" s="33">
        <f>B48*10</f>
        <v>910.88105726872243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29744.647139186996</v>
      </c>
      <c r="C5" s="17">
        <f>IF(ISERROR('Eigen informatie GS &amp; warmtenet'!B58),0,'Eigen informatie GS &amp; warmtenet'!B58)</f>
        <v>0</v>
      </c>
      <c r="D5" s="30">
        <f>SUM(D6:D12)</f>
        <v>34530.897204662979</v>
      </c>
      <c r="E5" s="17">
        <f>SUM(E6:E12)</f>
        <v>661.54191788817786</v>
      </c>
      <c r="F5" s="17">
        <f>SUM(F6:F12)</f>
        <v>6925.2635092919909</v>
      </c>
      <c r="G5" s="18"/>
      <c r="H5" s="17"/>
      <c r="I5" s="17"/>
      <c r="J5" s="17">
        <f>SUM(J6:J12)</f>
        <v>0</v>
      </c>
      <c r="K5" s="17"/>
      <c r="L5" s="17"/>
      <c r="M5" s="17"/>
      <c r="N5" s="17">
        <f>SUM(N6:N12)</f>
        <v>2339.6176578438872</v>
      </c>
      <c r="O5" s="17">
        <f>B38*B39*B40</f>
        <v>1.5633333333333335</v>
      </c>
      <c r="P5" s="17">
        <f>B46*B47*B48/1000-B46*B47*B48/1000/B49</f>
        <v>38.133333333333333</v>
      </c>
      <c r="R5" s="32"/>
    </row>
    <row r="6" spans="1:18">
      <c r="A6" s="32" t="s">
        <v>54</v>
      </c>
      <c r="B6" s="37">
        <f>B26</f>
        <v>5581.7307148</v>
      </c>
      <c r="C6" s="33"/>
      <c r="D6" s="37">
        <f>IF(ISERROR(TER_kantoor_gas_kWh/1000),0,TER_kantoor_gas_kWh/1000)*0.902</f>
        <v>5840.9023655377996</v>
      </c>
      <c r="E6" s="33">
        <f>$C$26*'E Balans VL '!I12/100/3.6*1000000</f>
        <v>73.07173075196917</v>
      </c>
      <c r="F6" s="33">
        <f>$C$26*('E Balans VL '!L12+'E Balans VL '!N12)/100/3.6*1000000</f>
        <v>1423.2836528234036</v>
      </c>
      <c r="G6" s="34"/>
      <c r="H6" s="33"/>
      <c r="I6" s="33"/>
      <c r="J6" s="33">
        <f>$C$26*('E Balans VL '!D12+'E Balans VL '!E12)/100/3.6*1000000</f>
        <v>0</v>
      </c>
      <c r="K6" s="33"/>
      <c r="L6" s="33"/>
      <c r="M6" s="33"/>
      <c r="N6" s="33">
        <f>$C$26*'E Balans VL '!Y12/100/3.6*1000000</f>
        <v>5.6005268940089108</v>
      </c>
      <c r="O6" s="33"/>
      <c r="P6" s="33"/>
      <c r="R6" s="32"/>
    </row>
    <row r="7" spans="1:18">
      <c r="A7" s="32" t="s">
        <v>53</v>
      </c>
      <c r="B7" s="37">
        <f t="shared" ref="B7:B12" si="0">B27</f>
        <v>889.73851479000007</v>
      </c>
      <c r="C7" s="33"/>
      <c r="D7" s="37">
        <f>IF(ISERROR(TER_horeca_gas_kWh/1000),0,TER_horeca_gas_kWh/1000)*0.902</f>
        <v>1523.7150900685999</v>
      </c>
      <c r="E7" s="33">
        <f>$C$27*'E Balans VL '!I9/100/3.6*1000000</f>
        <v>29.444932741717444</v>
      </c>
      <c r="F7" s="33">
        <f>$C$27*('E Balans VL '!L9+'E Balans VL '!N9)/100/3.6*1000000</f>
        <v>382.58415146867725</v>
      </c>
      <c r="G7" s="34"/>
      <c r="H7" s="33"/>
      <c r="I7" s="33"/>
      <c r="J7" s="33">
        <f>$C$27*('E Balans VL '!D9+'E Balans VL '!E9)/100/3.6*1000000</f>
        <v>0</v>
      </c>
      <c r="K7" s="33"/>
      <c r="L7" s="33"/>
      <c r="M7" s="33"/>
      <c r="N7" s="33">
        <f>$C$27*'E Balans VL '!Y9/100/3.6*1000000</f>
        <v>0.21417298093108611</v>
      </c>
      <c r="O7" s="33"/>
      <c r="P7" s="33"/>
      <c r="R7" s="32"/>
    </row>
    <row r="8" spans="1:18">
      <c r="A8" s="6" t="s">
        <v>52</v>
      </c>
      <c r="B8" s="37">
        <f t="shared" si="0"/>
        <v>13280.253358999998</v>
      </c>
      <c r="C8" s="33"/>
      <c r="D8" s="37">
        <f>IF(ISERROR(TER_handel_gas_kWh/1000),0,TER_handel_gas_kWh/1000)*0.902</f>
        <v>8875.9776706436005</v>
      </c>
      <c r="E8" s="33">
        <f>$C$28*'E Balans VL '!I13/100/3.6*1000000</f>
        <v>419.14508763316019</v>
      </c>
      <c r="F8" s="33">
        <f>$C$28*('E Balans VL '!L13+'E Balans VL '!N13)/100/3.6*1000000</f>
        <v>2604.4915344428105</v>
      </c>
      <c r="G8" s="34"/>
      <c r="H8" s="33"/>
      <c r="I8" s="33"/>
      <c r="J8" s="33">
        <f>$C$28*('E Balans VL '!D13+'E Balans VL '!E13)/100/3.6*1000000</f>
        <v>0</v>
      </c>
      <c r="K8" s="33"/>
      <c r="L8" s="33"/>
      <c r="M8" s="33"/>
      <c r="N8" s="33">
        <f>$C$28*'E Balans VL '!Y13/100/3.6*1000000</f>
        <v>15.761082407596124</v>
      </c>
      <c r="O8" s="33"/>
      <c r="P8" s="33"/>
      <c r="R8" s="32"/>
    </row>
    <row r="9" spans="1:18">
      <c r="A9" s="32" t="s">
        <v>51</v>
      </c>
      <c r="B9" s="37">
        <f t="shared" si="0"/>
        <v>65.686891497000005</v>
      </c>
      <c r="C9" s="33"/>
      <c r="D9" s="37">
        <f>IF(ISERROR(TER_gezond_gas_kWh/1000),0,TER_gezond_gas_kWh/1000)*0.902</f>
        <v>133.68197842801999</v>
      </c>
      <c r="E9" s="33">
        <f>$C$29*'E Balans VL '!I10/100/3.6*1000000</f>
        <v>8.4098437389894358E-3</v>
      </c>
      <c r="F9" s="33">
        <f>$C$29*('E Balans VL '!L10+'E Balans VL '!N10)/100/3.6*1000000</f>
        <v>13.685332688759377</v>
      </c>
      <c r="G9" s="34"/>
      <c r="H9" s="33"/>
      <c r="I9" s="33"/>
      <c r="J9" s="33">
        <f>$C$29*('E Balans VL '!D10+'E Balans VL '!E10)/100/3.6*1000000</f>
        <v>0</v>
      </c>
      <c r="K9" s="33"/>
      <c r="L9" s="33"/>
      <c r="M9" s="33"/>
      <c r="N9" s="33">
        <f>$C$29*'E Balans VL '!Y10/100/3.6*1000000</f>
        <v>0.77152358833889889</v>
      </c>
      <c r="O9" s="33"/>
      <c r="P9" s="33"/>
      <c r="R9" s="32"/>
    </row>
    <row r="10" spans="1:18">
      <c r="A10" s="32" t="s">
        <v>50</v>
      </c>
      <c r="B10" s="37">
        <f t="shared" si="0"/>
        <v>2071.5793014000001</v>
      </c>
      <c r="C10" s="33"/>
      <c r="D10" s="37">
        <f>IF(ISERROR(TER_ander_gas_kWh/1000),0,TER_ander_gas_kWh/1000)*0.902</f>
        <v>1183.7424740108002</v>
      </c>
      <c r="E10" s="33">
        <f>$C$30*'E Balans VL '!I14/100/3.6*1000000</f>
        <v>3.1151681051412625</v>
      </c>
      <c r="F10" s="33">
        <f>$C$30*('E Balans VL '!L14+'E Balans VL '!N14)/100/3.6*1000000</f>
        <v>457.33793322521171</v>
      </c>
      <c r="G10" s="34"/>
      <c r="H10" s="33"/>
      <c r="I10" s="33"/>
      <c r="J10" s="33">
        <f>$C$30*('E Balans VL '!D14+'E Balans VL '!E14)/100/3.6*1000000</f>
        <v>0</v>
      </c>
      <c r="K10" s="33"/>
      <c r="L10" s="33"/>
      <c r="M10" s="33"/>
      <c r="N10" s="33">
        <f>$C$30*'E Balans VL '!Y14/100/3.6*1000000</f>
        <v>1632.5439015338277</v>
      </c>
      <c r="O10" s="33"/>
      <c r="P10" s="33"/>
      <c r="R10" s="32"/>
    </row>
    <row r="11" spans="1:18">
      <c r="A11" s="32" t="s">
        <v>55</v>
      </c>
      <c r="B11" s="37">
        <f t="shared" si="0"/>
        <v>98.081999999999994</v>
      </c>
      <c r="C11" s="33"/>
      <c r="D11" s="37">
        <f>IF(ISERROR(TER_onderwijs_gas_kWh/1000),0,TER_onderwijs_gas_kWh/1000)*0.902</f>
        <v>713.80165895016</v>
      </c>
      <c r="E11" s="33">
        <f>$C$31*'E Balans VL '!I11/100/3.6*1000000</f>
        <v>0.172730621243189</v>
      </c>
      <c r="F11" s="33">
        <f>$C$31*('E Balans VL '!L11+'E Balans VL '!N11)/100/3.6*1000000</f>
        <v>45.286234190854614</v>
      </c>
      <c r="G11" s="34"/>
      <c r="H11" s="33"/>
      <c r="I11" s="33"/>
      <c r="J11" s="33">
        <f>$C$31*('E Balans VL '!D11+'E Balans VL '!E11)/100/3.6*1000000</f>
        <v>0</v>
      </c>
      <c r="K11" s="33"/>
      <c r="L11" s="33"/>
      <c r="M11" s="33"/>
      <c r="N11" s="33">
        <f>$C$31*'E Balans VL '!Y11/100/3.6*1000000</f>
        <v>0.18272812235427344</v>
      </c>
      <c r="O11" s="33"/>
      <c r="P11" s="33"/>
      <c r="R11" s="32"/>
    </row>
    <row r="12" spans="1:18">
      <c r="A12" s="32" t="s">
        <v>260</v>
      </c>
      <c r="B12" s="37">
        <f t="shared" si="0"/>
        <v>7757.5763576999998</v>
      </c>
      <c r="C12" s="33"/>
      <c r="D12" s="37">
        <f>IF(ISERROR(TER_rest_gas_kWh/1000),0,TER_rest_gas_kWh/1000)*0.902</f>
        <v>16259.075967024</v>
      </c>
      <c r="E12" s="33">
        <f>$C$32*'E Balans VL '!I8/100/3.6*1000000</f>
        <v>136.58385819120761</v>
      </c>
      <c r="F12" s="33">
        <f>$C$32*('E Balans VL '!L8+'E Balans VL '!N8)/100/3.6*1000000</f>
        <v>1998.5946704522742</v>
      </c>
      <c r="G12" s="34"/>
      <c r="H12" s="33"/>
      <c r="I12" s="33"/>
      <c r="J12" s="33">
        <f>$C$32*('E Balans VL '!D8+'E Balans VL '!E8)/100/3.6*1000000</f>
        <v>0</v>
      </c>
      <c r="K12" s="33"/>
      <c r="L12" s="33"/>
      <c r="M12" s="33"/>
      <c r="N12" s="33">
        <f>$C$32*'E Balans VL '!Y8/100/3.6*1000000</f>
        <v>684.54372231683033</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29744.647139186996</v>
      </c>
      <c r="C16" s="21">
        <f t="shared" ca="1" si="1"/>
        <v>0</v>
      </c>
      <c r="D16" s="21">
        <f t="shared" ca="1" si="1"/>
        <v>34530.897204662979</v>
      </c>
      <c r="E16" s="21">
        <f t="shared" si="1"/>
        <v>661.54191788817786</v>
      </c>
      <c r="F16" s="21">
        <f t="shared" ca="1" si="1"/>
        <v>6925.2635092919909</v>
      </c>
      <c r="G16" s="21">
        <f t="shared" si="1"/>
        <v>0</v>
      </c>
      <c r="H16" s="21">
        <f t="shared" si="1"/>
        <v>0</v>
      </c>
      <c r="I16" s="21">
        <f t="shared" si="1"/>
        <v>0</v>
      </c>
      <c r="J16" s="21">
        <f t="shared" si="1"/>
        <v>0</v>
      </c>
      <c r="K16" s="21">
        <f t="shared" si="1"/>
        <v>0</v>
      </c>
      <c r="L16" s="21">
        <f t="shared" ca="1" si="1"/>
        <v>0</v>
      </c>
      <c r="M16" s="21">
        <f t="shared" si="1"/>
        <v>0</v>
      </c>
      <c r="N16" s="21">
        <f t="shared" ca="1" si="1"/>
        <v>2339.6176578438872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0.2135319037913348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6351.4311312320797</v>
      </c>
      <c r="C20" s="23">
        <f t="shared" ref="C20:P20" ca="1" si="2">C16*C18</f>
        <v>0</v>
      </c>
      <c r="D20" s="23">
        <f t="shared" ca="1" si="2"/>
        <v>6975.2412353419222</v>
      </c>
      <c r="E20" s="23">
        <f t="shared" si="2"/>
        <v>150.17001536061639</v>
      </c>
      <c r="F20" s="23">
        <f t="shared" ca="1" si="2"/>
        <v>1849.0453569809617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5581.7307148</v>
      </c>
      <c r="C26" s="39">
        <f>IF(ISERROR(B26*3.6/1000000/'E Balans VL '!Z12*100),0,B26*3.6/1000000/'E Balans VL '!Z12*100)</f>
        <v>0.11956500818875572</v>
      </c>
      <c r="D26" s="237" t="s">
        <v>660</v>
      </c>
      <c r="F26" s="6"/>
    </row>
    <row r="27" spans="1:18">
      <c r="A27" s="231" t="s">
        <v>53</v>
      </c>
      <c r="B27" s="33">
        <f>IF(ISERROR(TER_horeca_ele_kWh/1000),0,TER_horeca_ele_kWh/1000)</f>
        <v>889.73851479000007</v>
      </c>
      <c r="C27" s="39">
        <f>IF(ISERROR(B27*3.6/1000000/'E Balans VL '!Z9*100),0,B27*3.6/1000000/'E Balans VL '!Z9*100)</f>
        <v>7.1398423112387782E-2</v>
      </c>
      <c r="D27" s="237" t="s">
        <v>660</v>
      </c>
      <c r="F27" s="6"/>
    </row>
    <row r="28" spans="1:18">
      <c r="A28" s="171" t="s">
        <v>52</v>
      </c>
      <c r="B28" s="33">
        <f>IF(ISERROR(TER_handel_ele_kWh/1000),0,TER_handel_ele_kWh/1000)</f>
        <v>13280.253358999998</v>
      </c>
      <c r="C28" s="39">
        <f>IF(ISERROR(B28*3.6/1000000/'E Balans VL '!Z13*100),0,B28*3.6/1000000/'E Balans VL '!Z13*100)</f>
        <v>0.39169130159550675</v>
      </c>
      <c r="D28" s="237" t="s">
        <v>660</v>
      </c>
      <c r="F28" s="6"/>
    </row>
    <row r="29" spans="1:18">
      <c r="A29" s="231" t="s">
        <v>51</v>
      </c>
      <c r="B29" s="33">
        <f>IF(ISERROR(TER_gezond_ele_kWh/1000),0,TER_gezond_ele_kWh/1000)</f>
        <v>65.686891497000005</v>
      </c>
      <c r="C29" s="39">
        <f>IF(ISERROR(B29*3.6/1000000/'E Balans VL '!Z10*100),0,B29*3.6/1000000/'E Balans VL '!Z10*100)</f>
        <v>7.0135988802766747E-3</v>
      </c>
      <c r="D29" s="237" t="s">
        <v>660</v>
      </c>
      <c r="F29" s="6"/>
    </row>
    <row r="30" spans="1:18">
      <c r="A30" s="231" t="s">
        <v>50</v>
      </c>
      <c r="B30" s="33">
        <f>IF(ISERROR(TER_ander_ele_kWh/1000),0,TER_ander_ele_kWh/1000)</f>
        <v>2071.5793014000001</v>
      </c>
      <c r="C30" s="39">
        <f>IF(ISERROR(B30*3.6/1000000/'E Balans VL '!Z14*100),0,B30*3.6/1000000/'E Balans VL '!Z14*100)</f>
        <v>0.1564745193985293</v>
      </c>
      <c r="D30" s="237" t="s">
        <v>660</v>
      </c>
      <c r="F30" s="6"/>
    </row>
    <row r="31" spans="1:18">
      <c r="A31" s="231" t="s">
        <v>55</v>
      </c>
      <c r="B31" s="33">
        <f>IF(ISERROR(TER_onderwijs_ele_kWh/1000),0,TER_onderwijs_ele_kWh/1000)</f>
        <v>98.081999999999994</v>
      </c>
      <c r="C31" s="39">
        <f>IF(ISERROR(B31*3.6/1000000/'E Balans VL '!Z11*100),0,B31*3.6/1000000/'E Balans VL '!Z11*100)</f>
        <v>1.9806030030108061E-2</v>
      </c>
      <c r="D31" s="237" t="s">
        <v>660</v>
      </c>
    </row>
    <row r="32" spans="1:18">
      <c r="A32" s="231" t="s">
        <v>260</v>
      </c>
      <c r="B32" s="33">
        <f>IF(ISERROR(TER_rest_ele_kWh/1000),0,TER_rest_ele_kWh/1000)</f>
        <v>7757.5763576999998</v>
      </c>
      <c r="C32" s="39">
        <f>IF(ISERROR(B32*3.6/1000000/'E Balans VL '!Z8*100),0,B32*3.6/1000000/'E Balans VL '!Z8*100)</f>
        <v>6.432111035248167E-2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29745.671576590001</v>
      </c>
      <c r="C5" s="17">
        <f>IF(ISERROR('Eigen informatie GS &amp; warmtenet'!B59),0,'Eigen informatie GS &amp; warmtenet'!B59)</f>
        <v>0</v>
      </c>
      <c r="D5" s="30">
        <f>SUM(D6:D15)</f>
        <v>71597.78292665747</v>
      </c>
      <c r="E5" s="17">
        <f>SUM(E6:E15)</f>
        <v>1168.5675720060217</v>
      </c>
      <c r="F5" s="17">
        <f>SUM(F6:F15)</f>
        <v>7041.7971096052561</v>
      </c>
      <c r="G5" s="18"/>
      <c r="H5" s="17"/>
      <c r="I5" s="17"/>
      <c r="J5" s="17">
        <f>SUM(J6:J15)</f>
        <v>269.67132782079523</v>
      </c>
      <c r="K5" s="17"/>
      <c r="L5" s="17"/>
      <c r="M5" s="17"/>
      <c r="N5" s="17">
        <f>SUM(N6:N15)</f>
        <v>14971.083923702319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547.71678988999997</v>
      </c>
      <c r="C8" s="33"/>
      <c r="D8" s="37">
        <f>IF( ISERROR(IND_metaal_Gas_kWH/1000),0,IND_metaal_Gas_kWH/1000)*0.902</f>
        <v>388.15120125606001</v>
      </c>
      <c r="E8" s="33">
        <f>C30*'E Balans VL '!I18/100/3.6*1000000</f>
        <v>19.708507055853332</v>
      </c>
      <c r="F8" s="33">
        <f>C30*'E Balans VL '!L18/100/3.6*1000000+C30*'E Balans VL '!N18/100/3.6*1000000</f>
        <v>239.17016707690021</v>
      </c>
      <c r="G8" s="34"/>
      <c r="H8" s="33"/>
      <c r="I8" s="33"/>
      <c r="J8" s="40">
        <f>C30*'E Balans VL '!D18/100/3.6*1000000+C30*'E Balans VL '!E18/100/3.6*1000000</f>
        <v>0</v>
      </c>
      <c r="K8" s="33"/>
      <c r="L8" s="33"/>
      <c r="M8" s="33"/>
      <c r="N8" s="33">
        <f>C30*'E Balans VL '!Y18/100/3.6*1000000</f>
        <v>27.451193296288526</v>
      </c>
      <c r="O8" s="33"/>
      <c r="P8" s="33"/>
      <c r="R8" s="32"/>
    </row>
    <row r="9" spans="1:18">
      <c r="A9" s="6" t="s">
        <v>33</v>
      </c>
      <c r="B9" s="37">
        <f t="shared" si="0"/>
        <v>1459.1027829</v>
      </c>
      <c r="C9" s="33"/>
      <c r="D9" s="37">
        <f>IF( ISERROR(IND_andere_gas_kWh/1000),0,IND_andere_gas_kWh/1000)*0.902</f>
        <v>1775.1191970028001</v>
      </c>
      <c r="E9" s="33">
        <f>C31*'E Balans VL '!I19/100/3.6*1000000</f>
        <v>372.3300170709536</v>
      </c>
      <c r="F9" s="33">
        <f>C31*'E Balans VL '!L19/100/3.6*1000000+C31*'E Balans VL '!N19/100/3.6*1000000</f>
        <v>1256.1778256481171</v>
      </c>
      <c r="G9" s="34"/>
      <c r="H9" s="33"/>
      <c r="I9" s="33"/>
      <c r="J9" s="40">
        <f>C31*'E Balans VL '!D19/100/3.6*1000000+C31*'E Balans VL '!E19/100/3.6*1000000</f>
        <v>0</v>
      </c>
      <c r="K9" s="33"/>
      <c r="L9" s="33"/>
      <c r="M9" s="33"/>
      <c r="N9" s="33">
        <f>C31*'E Balans VL '!Y19/100/3.6*1000000</f>
        <v>456.3114092644376</v>
      </c>
      <c r="O9" s="33"/>
      <c r="P9" s="33"/>
      <c r="R9" s="32"/>
    </row>
    <row r="10" spans="1:18">
      <c r="A10" s="6" t="s">
        <v>41</v>
      </c>
      <c r="B10" s="37">
        <f t="shared" si="0"/>
        <v>19331.637482000002</v>
      </c>
      <c r="C10" s="33"/>
      <c r="D10" s="37">
        <f>IF( ISERROR(IND_voed_gas_kWh/1000),0,IND_voed_gas_kWh/1000)*0.902</f>
        <v>19260.668491922002</v>
      </c>
      <c r="E10" s="33">
        <f>C32*'E Balans VL '!I20/100/3.6*1000000</f>
        <v>491.43676930598082</v>
      </c>
      <c r="F10" s="33">
        <f>C32*'E Balans VL '!L20/100/3.6*1000000+C32*'E Balans VL '!N20/100/3.6*1000000</f>
        <v>4374.4593692717426</v>
      </c>
      <c r="G10" s="34"/>
      <c r="H10" s="33"/>
      <c r="I10" s="33"/>
      <c r="J10" s="40">
        <f>C32*'E Balans VL '!D20/100/3.6*1000000+C32*'E Balans VL '!E20/100/3.6*1000000</f>
        <v>0</v>
      </c>
      <c r="K10" s="33"/>
      <c r="L10" s="33"/>
      <c r="M10" s="33"/>
      <c r="N10" s="33">
        <f>C32*'E Balans VL '!Y20/100/3.6*1000000</f>
        <v>7249.8880603949701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3424.9145839999996</v>
      </c>
      <c r="C13" s="33"/>
      <c r="D13" s="37">
        <f>IF( ISERROR(IND_papier_gas_kWh/1000),0,IND_papier_gas_kWh/1000)*0.902</f>
        <v>2767.2460627526002</v>
      </c>
      <c r="E13" s="33">
        <f>C35*'E Balans VL '!I23/100/3.6*1000000</f>
        <v>14.688462282216301</v>
      </c>
      <c r="F13" s="33">
        <f>C35*'E Balans VL '!L23/100/3.6*1000000+C35*'E Balans VL '!N23/100/3.6*1000000</f>
        <v>86.07873375406605</v>
      </c>
      <c r="G13" s="34"/>
      <c r="H13" s="33"/>
      <c r="I13" s="33"/>
      <c r="J13" s="40">
        <f>C35*'E Balans VL '!D23/100/3.6*1000000+C35*'E Balans VL '!E23/100/3.6*1000000</f>
        <v>229.27924651504094</v>
      </c>
      <c r="K13" s="33"/>
      <c r="L13" s="33"/>
      <c r="M13" s="33"/>
      <c r="N13" s="33">
        <f>C35*'E Balans VL '!Y23/100/3.6*1000000</f>
        <v>6234.1590186422536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4982.2999378000004</v>
      </c>
      <c r="C15" s="33"/>
      <c r="D15" s="37">
        <f>IF( ISERROR(IND_rest_gas_kWh/1000),0,IND_rest_gas_kWh/1000)*0.902</f>
        <v>47406.597973723998</v>
      </c>
      <c r="E15" s="33">
        <f>C37*'E Balans VL '!I15/100/3.6*1000000</f>
        <v>270.40381629101751</v>
      </c>
      <c r="F15" s="33">
        <f>C37*'E Balans VL '!L15/100/3.6*1000000+C37*'E Balans VL '!N15/100/3.6*1000000</f>
        <v>1085.9110138544299</v>
      </c>
      <c r="G15" s="34"/>
      <c r="H15" s="33"/>
      <c r="I15" s="33"/>
      <c r="J15" s="40">
        <f>C37*'E Balans VL '!D15/100/3.6*1000000+C37*'E Balans VL '!E15/100/3.6*1000000</f>
        <v>40.392081305754317</v>
      </c>
      <c r="K15" s="33"/>
      <c r="L15" s="33"/>
      <c r="M15" s="33"/>
      <c r="N15" s="33">
        <f>C37*'E Balans VL '!Y15/100/3.6*1000000</f>
        <v>1003.2742421043693</v>
      </c>
      <c r="O15" s="33"/>
      <c r="P15" s="33"/>
      <c r="R15" s="32"/>
    </row>
    <row r="16" spans="1:18">
      <c r="A16" s="16" t="s">
        <v>491</v>
      </c>
      <c r="B16" s="247">
        <f>'lokale energieproductie'!N89+'lokale energieproductie'!N58</f>
        <v>18891</v>
      </c>
      <c r="C16" s="247">
        <f>'lokale energieproductie'!O89+'lokale energieproductie'!O58</f>
        <v>26987.142857142859</v>
      </c>
      <c r="D16" s="310">
        <f>('lokale energieproductie'!P58+'lokale energieproductie'!P89)*(-1)</f>
        <v>-53974.285714285717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48636.671576590001</v>
      </c>
      <c r="C18" s="21">
        <f>C5+C16</f>
        <v>26987.142857142859</v>
      </c>
      <c r="D18" s="21">
        <f>MAX((D5+D16),0)</f>
        <v>17623.497212371753</v>
      </c>
      <c r="E18" s="21">
        <f>MAX((E5+E16),0)</f>
        <v>1168.5675720060217</v>
      </c>
      <c r="F18" s="21">
        <f>MAX((F5+F16),0)</f>
        <v>7041.7971096052561</v>
      </c>
      <c r="G18" s="21"/>
      <c r="H18" s="21"/>
      <c r="I18" s="21"/>
      <c r="J18" s="21">
        <f>MAX((J5+J16),0)</f>
        <v>269.67132782079523</v>
      </c>
      <c r="K18" s="21"/>
      <c r="L18" s="21">
        <f>MAX((L5+L16),0)</f>
        <v>0</v>
      </c>
      <c r="M18" s="21"/>
      <c r="N18" s="21">
        <f>MAX((N5+N16),0)</f>
        <v>14971.083923702319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0.2135319037913348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10385.481075823163</v>
      </c>
      <c r="C22" s="23">
        <f ca="1">C18*C20</f>
        <v>6413.4151260504223</v>
      </c>
      <c r="D22" s="23">
        <f>D18*D20</f>
        <v>3559.9464368990944</v>
      </c>
      <c r="E22" s="23">
        <f>E18*E20</f>
        <v>265.26483884536691</v>
      </c>
      <c r="F22" s="23">
        <f>F18*F20</f>
        <v>1880.1598282646034</v>
      </c>
      <c r="G22" s="23"/>
      <c r="H22" s="23"/>
      <c r="I22" s="23"/>
      <c r="J22" s="23">
        <f>J18*J20</f>
        <v>95.463650048561504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547.71678988999997</v>
      </c>
      <c r="C30" s="39">
        <f>IF(ISERROR(B30*3.6/1000000/'E Balans VL '!Z18*100),0,B30*3.6/1000000/'E Balans VL '!Z18*100)</f>
        <v>0.11604944503920199</v>
      </c>
      <c r="D30" s="237" t="s">
        <v>660</v>
      </c>
    </row>
    <row r="31" spans="1:18">
      <c r="A31" s="6" t="s">
        <v>33</v>
      </c>
      <c r="B31" s="37">
        <f>IF( ISERROR(IND_ander_ele_kWh/1000),0,IND_ander_ele_kWh/1000)</f>
        <v>1459.1027829</v>
      </c>
      <c r="C31" s="39">
        <f>IF(ISERROR(B31*3.6/1000000/'E Balans VL '!Z19*100),0,B31*3.6/1000000/'E Balans VL '!Z19*100)</f>
        <v>6.141694926608026E-2</v>
      </c>
      <c r="D31" s="237" t="s">
        <v>660</v>
      </c>
    </row>
    <row r="32" spans="1:18">
      <c r="A32" s="171" t="s">
        <v>41</v>
      </c>
      <c r="B32" s="37">
        <f>IF( ISERROR(IND_voed_ele_kWh/1000),0,IND_voed_ele_kWh/1000)</f>
        <v>19331.637482000002</v>
      </c>
      <c r="C32" s="39">
        <f>IF(ISERROR(B32*3.6/1000000/'E Balans VL '!Z20*100),0,B32*3.6/1000000/'E Balans VL '!Z20*100)</f>
        <v>3.2295687638032073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3424.9145839999996</v>
      </c>
      <c r="C35" s="39">
        <f>IF(ISERROR(B35*3.6/1000000/'E Balans VL '!Z22*100),0,B35*3.6/1000000/'E Balans VL '!Z22*100)</f>
        <v>0.43412639403179953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4982.2999378000004</v>
      </c>
      <c r="C37" s="39">
        <f>IF(ISERROR(B37*3.6/1000000/'E Balans VL '!Z15*100),0,B37*3.6/1000000/'E Balans VL '!Z15*100)</f>
        <v>4.0224036632819385E-2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392.51805985899995</v>
      </c>
      <c r="C5" s="17">
        <f>'Eigen informatie GS &amp; warmtenet'!B60</f>
        <v>0</v>
      </c>
      <c r="D5" s="30">
        <f>IF(ISERROR(SUM(LB_lb_gas_kWh,LB_rest_gas_kWh,onbekend_gas_kWh)/1000),0,SUM(LB_lb_gas_kWh,LB_rest_gas_kWh,onbekend_gas_kWh)/1000)*0.902</f>
        <v>13374.850010124679</v>
      </c>
      <c r="E5" s="17">
        <f>B17*'E Balans VL '!I25/3.6*1000000/100</f>
        <v>10.121533668656186</v>
      </c>
      <c r="F5" s="17">
        <f>B17*('E Balans VL '!L25/3.6*1000000+'E Balans VL '!N25/3.6*1000000)/100</f>
        <v>1434.7282602179343</v>
      </c>
      <c r="G5" s="18"/>
      <c r="H5" s="17"/>
      <c r="I5" s="17"/>
      <c r="J5" s="17">
        <f>('E Balans VL '!D25+'E Balans VL '!E25)/3.6*1000000*landbouw!B17/100</f>
        <v>56.508161192432581</v>
      </c>
      <c r="K5" s="17"/>
      <c r="L5" s="17">
        <f>L6*(-1)</f>
        <v>0</v>
      </c>
      <c r="M5" s="17"/>
      <c r="N5" s="17">
        <f>N6*(-1)</f>
        <v>0</v>
      </c>
      <c r="O5" s="17"/>
      <c r="P5" s="17"/>
      <c r="R5" s="32"/>
    </row>
    <row r="6" spans="1:18">
      <c r="A6" s="16" t="s">
        <v>491</v>
      </c>
      <c r="B6" s="17" t="s">
        <v>211</v>
      </c>
      <c r="C6" s="17">
        <f>'lokale energieproductie'!O91+'lokale energieproductie'!O60</f>
        <v>10131.428571428571</v>
      </c>
      <c r="D6" s="310">
        <f>('lokale energieproductie'!P60+'lokale energieproductie'!P91)*(-1)</f>
        <v>-20262.857142857141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392.51805985899995</v>
      </c>
      <c r="C8" s="21">
        <f>C5+C6</f>
        <v>10131.428571428571</v>
      </c>
      <c r="D8" s="21">
        <f>MAX((D5+D6),0)</f>
        <v>0</v>
      </c>
      <c r="E8" s="21">
        <f>MAX((E5+E6),0)</f>
        <v>10.121533668656186</v>
      </c>
      <c r="F8" s="21">
        <f>MAX((F5+F6),0)</f>
        <v>1434.7282602179343</v>
      </c>
      <c r="G8" s="21"/>
      <c r="H8" s="21"/>
      <c r="I8" s="21"/>
      <c r="J8" s="21">
        <f>MAX((J5+J6),0)</f>
        <v>56.508161192432581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0.2135319037913348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83.815128594173373</v>
      </c>
      <c r="C12" s="23">
        <f ca="1">C8*C10</f>
        <v>2407.7042016806727</v>
      </c>
      <c r="D12" s="23">
        <f>D8*D10</f>
        <v>0</v>
      </c>
      <c r="E12" s="23">
        <f>E8*E10</f>
        <v>2.2975881427849543</v>
      </c>
      <c r="F12" s="23">
        <f>F8*F10</f>
        <v>383.07244547818851</v>
      </c>
      <c r="G12" s="23"/>
      <c r="H12" s="23"/>
      <c r="I12" s="23"/>
      <c r="J12" s="23">
        <f>J8*J10</f>
        <v>20.003889062121132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5.534764642144846E-2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5.2291245415031051</v>
      </c>
      <c r="C26" s="247">
        <f>B26*'GWP N2O_CH4'!B5</f>
        <v>109.81161537156521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0.28951716558818247</v>
      </c>
      <c r="C27" s="247">
        <f>B27*'GWP N2O_CH4'!B5</f>
        <v>6.0798604773518319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6.6440010342601039E-2</v>
      </c>
      <c r="C28" s="247">
        <f>B28*'GWP N2O_CH4'!B4</f>
        <v>20.596403206206322</v>
      </c>
      <c r="D28" s="50"/>
    </row>
    <row r="29" spans="1:4">
      <c r="A29" s="41" t="s">
        <v>277</v>
      </c>
      <c r="B29" s="247">
        <f>B34*'ha_N2O bodem landbouw'!B4</f>
        <v>2.2470316285710523</v>
      </c>
      <c r="C29" s="247">
        <f>B29*'GWP N2O_CH4'!B4</f>
        <v>696.57980485702626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5.0570422367920943E-4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1.82171181356376E-4</v>
      </c>
      <c r="C5" s="463" t="s">
        <v>211</v>
      </c>
      <c r="D5" s="448">
        <f>SUM(D6:D11)</f>
        <v>3.8971238624781212E-4</v>
      </c>
      <c r="E5" s="448">
        <f>SUM(E6:E11)</f>
        <v>1.8138940785746714E-3</v>
      </c>
      <c r="F5" s="461" t="s">
        <v>211</v>
      </c>
      <c r="G5" s="448">
        <f>SUM(G6:G11)</f>
        <v>0.7821884944228803</v>
      </c>
      <c r="H5" s="448">
        <f>SUM(H6:H11)</f>
        <v>0.10876457954142747</v>
      </c>
      <c r="I5" s="463" t="s">
        <v>211</v>
      </c>
      <c r="J5" s="463" t="s">
        <v>211</v>
      </c>
      <c r="K5" s="463" t="s">
        <v>211</v>
      </c>
      <c r="L5" s="463" t="s">
        <v>211</v>
      </c>
      <c r="M5" s="448">
        <f>SUM(M6:M11)</f>
        <v>2.7900184539603825E-2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2.8848513814155901E-5</v>
      </c>
      <c r="C6" s="449"/>
      <c r="D6" s="962">
        <f>vkm_2011_GW_PW*SUMIFS(TableVerdeelsleutelVkm[CNG],TableVerdeelsleutelVkm[Voertuigtype],"Lichte voertuigen")*SUMIFS(TableECFTransport[EnergieConsumptieFactor (PJ per km)],TableECFTransport[Index],CONCATENATE($A6,"_CNG_CNG"))</f>
        <v>5.7322502274714161E-5</v>
      </c>
      <c r="E6" s="962">
        <f>vkm_2011_GW_PW*SUMIFS(TableVerdeelsleutelVkm[LPG],TableVerdeelsleutelVkm[Voertuigtype],"Lichte voertuigen")*SUMIFS(TableECFTransport[EnergieConsumptieFactor (PJ per km)],TableECFTransport[Index],CONCATENATE($A6,"_LPG_LPG"))</f>
        <v>2.2558459502765264E-4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5.3636276438772779E-2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1.5518925875120786E-2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2.1549399629484274E-3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3.2169473831917629E-2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1.0392114118780272E-5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1.0136108987017633E-3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9.3619399354972251E-6</v>
      </c>
      <c r="C8" s="449"/>
      <c r="D8" s="451">
        <f>vkm_2011_NGW_PW*SUMIFS(TableVerdeelsleutelVkm[CNG],TableVerdeelsleutelVkm[Voertuigtype],"Lichte voertuigen")*SUMIFS(TableECFTransport[EnergieConsumptieFactor (PJ per km)],TableECFTransport[Index],CONCATENATE($A8,"_CNG_CNG"))</f>
        <v>3.29379557796695E-5</v>
      </c>
      <c r="E8" s="451">
        <f>vkm_2011_NGW_PW*SUMIFS(TableVerdeelsleutelVkm[LPG],TableVerdeelsleutelVkm[Voertuigtype],"Lichte voertuigen")*SUMIFS(TableECFTransport[EnergieConsumptieFactor (PJ per km)],TableECFTransport[Index],CONCATENATE($A8,"_LPG_LPG"))</f>
        <v>1.1987806385361422E-4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2.6616300070567575E-2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8.6466957135550911E-3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1.097723298784309E-3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1.4369832415266967E-2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4.3901056461869995E-6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4.5276387525498938E-4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1.4396072760672289E-4</v>
      </c>
      <c r="C10" s="449"/>
      <c r="D10" s="451">
        <f>vkm_2011_SW_PW*SUMIFS(TableVerdeelsleutelVkm[CNG],TableVerdeelsleutelVkm[Voertuigtype],"Lichte voertuigen")*SUMIFS(TableECFTransport[EnergieConsumptieFactor (PJ per km)],TableECFTransport[Index],CONCATENATE($A10,"_CNG_CNG"))</f>
        <v>2.9945192819342843E-4</v>
      </c>
      <c r="E10" s="451">
        <f>vkm_2011_SW_PW*SUMIFS(TableVerdeelsleutelVkm[LPG],TableVerdeelsleutelVkm[Voertuigtype],"Lichte voertuigen")*SUMIFS(TableECFTransport[EnergieConsumptieFactor (PJ per km)],TableECFTransport[Index],CONCATENATE($A10,"_LPG_LPG"))</f>
        <v>1.4684314196934045E-3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0.31275903241764508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8.4464917814546028E-2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1.2384903561058664E-2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0.3426375792487103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1.1925791844060533E-4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1.0796242942855673E-2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50.60310593232667</v>
      </c>
      <c r="C14" s="21"/>
      <c r="D14" s="21">
        <f t="shared" ref="D14:M14" si="0">((D5)*10^9/3600)+D12</f>
        <v>108.25344062439225</v>
      </c>
      <c r="E14" s="21">
        <f t="shared" si="0"/>
        <v>503.85946627074208</v>
      </c>
      <c r="F14" s="21"/>
      <c r="G14" s="21">
        <f t="shared" si="0"/>
        <v>217274.58178413342</v>
      </c>
      <c r="H14" s="21">
        <f t="shared" si="0"/>
        <v>30212.383205952076</v>
      </c>
      <c r="I14" s="21"/>
      <c r="J14" s="21"/>
      <c r="K14" s="21"/>
      <c r="L14" s="21"/>
      <c r="M14" s="21">
        <f t="shared" si="0"/>
        <v>7750.0512610010628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0.2135319037913348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10.805377547484301</v>
      </c>
      <c r="C18" s="23"/>
      <c r="D18" s="23">
        <f t="shared" ref="D18:M18" si="1">D14*D16</f>
        <v>21.867195006127236</v>
      </c>
      <c r="E18" s="23">
        <f t="shared" si="1"/>
        <v>114.37609884345845</v>
      </c>
      <c r="F18" s="23"/>
      <c r="G18" s="23">
        <f t="shared" si="1"/>
        <v>58012.31333636363</v>
      </c>
      <c r="H18" s="23">
        <f t="shared" si="1"/>
        <v>7522.8834182820665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8.3306903655741005E-3</v>
      </c>
      <c r="H50" s="321">
        <f t="shared" si="2"/>
        <v>0</v>
      </c>
      <c r="I50" s="321">
        <f t="shared" si="2"/>
        <v>0</v>
      </c>
      <c r="J50" s="321">
        <f t="shared" si="2"/>
        <v>0</v>
      </c>
      <c r="K50" s="321">
        <f t="shared" si="2"/>
        <v>0</v>
      </c>
      <c r="L50" s="321">
        <f t="shared" si="2"/>
        <v>0</v>
      </c>
      <c r="M50" s="321">
        <f t="shared" si="2"/>
        <v>2.5839937786884096E-4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8.3306903655741005E-3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2.5839937786884096E-4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2314.0806571039166</v>
      </c>
      <c r="H54" s="21">
        <f t="shared" si="3"/>
        <v>0</v>
      </c>
      <c r="I54" s="21">
        <f t="shared" si="3"/>
        <v>0</v>
      </c>
      <c r="J54" s="21">
        <f t="shared" si="3"/>
        <v>0</v>
      </c>
      <c r="K54" s="21">
        <f t="shared" si="3"/>
        <v>0</v>
      </c>
      <c r="L54" s="21">
        <f t="shared" si="3"/>
        <v>0</v>
      </c>
      <c r="M54" s="21">
        <f t="shared" si="3"/>
        <v>71.77760496356693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0.2135319037913348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617.85953544674578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5370.1137779603141</v>
      </c>
      <c r="C6" s="1210"/>
      <c r="D6" s="1213"/>
      <c r="E6" s="1213"/>
      <c r="F6" s="1216"/>
      <c r="G6" s="1219"/>
      <c r="H6" s="1207"/>
      <c r="I6" s="1213"/>
      <c r="J6" s="1213"/>
      <c r="K6" s="1213"/>
      <c r="L6" s="1243"/>
      <c r="M6" s="575"/>
      <c r="N6" s="1255"/>
      <c r="O6" s="1256"/>
      <c r="Q6" s="573"/>
      <c r="R6" s="1240"/>
      <c r="S6" s="1240"/>
    </row>
    <row r="7" spans="1:19" s="563" customFormat="1">
      <c r="A7" s="576" t="s">
        <v>252</v>
      </c>
      <c r="B7" s="577">
        <f>N57</f>
        <v>25983</v>
      </c>
      <c r="C7" s="578">
        <f>B100</f>
        <v>30568.235294117643</v>
      </c>
      <c r="D7" s="579"/>
      <c r="E7" s="579">
        <f>E100</f>
        <v>0</v>
      </c>
      <c r="F7" s="580"/>
      <c r="G7" s="581"/>
      <c r="H7" s="579">
        <f>I100</f>
        <v>0</v>
      </c>
      <c r="I7" s="579">
        <f>G100+F100</f>
        <v>0</v>
      </c>
      <c r="J7" s="579">
        <f>H100+D100+C100</f>
        <v>0</v>
      </c>
      <c r="K7" s="579"/>
      <c r="L7" s="582"/>
      <c r="M7" s="583">
        <f>C7*$C$11+D7*$D$11+E7*$E$11+F7*$F$11+G7*$G$11+H7*$H$11+I7*$I$11+J7*$J$11</f>
        <v>6174.783529411764</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31353.113777960316</v>
      </c>
      <c r="C9" s="594">
        <f t="shared" ref="C9:L9" si="0">SUM(C7:C8)</f>
        <v>30568.235294117643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6174.783529411764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37118.571428571428</v>
      </c>
      <c r="C16" s="610">
        <f>B101</f>
        <v>43668.907563025212</v>
      </c>
      <c r="D16" s="611"/>
      <c r="E16" s="611">
        <f>E101</f>
        <v>0</v>
      </c>
      <c r="F16" s="612"/>
      <c r="G16" s="613"/>
      <c r="H16" s="610">
        <f>I101</f>
        <v>0</v>
      </c>
      <c r="I16" s="611">
        <f>G101+F101</f>
        <v>0</v>
      </c>
      <c r="J16" s="611">
        <f>H101+D101+C101</f>
        <v>0</v>
      </c>
      <c r="K16" s="611"/>
      <c r="L16" s="614"/>
      <c r="M16" s="615">
        <f>C16*$C$21+E16*$E$21+H16*$H$21+I16*$I$21+J16*$J$21+D16*$D$21+F16*$F$21+G16*$G$21+K16*$K$21+L16*$L$21</f>
        <v>8821.119327731094</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37118.571428571428</v>
      </c>
      <c r="C19" s="593">
        <f>SUM(C16:C18)</f>
        <v>43668.907563025212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8821.119327731094</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11052</v>
      </c>
      <c r="C27" s="851">
        <v>2160</v>
      </c>
      <c r="D27" s="672" t="s">
        <v>855</v>
      </c>
      <c r="E27" s="671" t="s">
        <v>856</v>
      </c>
      <c r="F27" s="671" t="s">
        <v>857</v>
      </c>
      <c r="G27" s="671" t="s">
        <v>858</v>
      </c>
      <c r="H27" s="671" t="s">
        <v>859</v>
      </c>
      <c r="I27" s="671" t="s">
        <v>856</v>
      </c>
      <c r="J27" s="850">
        <v>40246</v>
      </c>
      <c r="K27" s="850">
        <v>39468</v>
      </c>
      <c r="L27" s="671" t="s">
        <v>860</v>
      </c>
      <c r="M27" s="671">
        <v>4198</v>
      </c>
      <c r="N27" s="671">
        <v>18891</v>
      </c>
      <c r="O27" s="671">
        <v>26987.142857142859</v>
      </c>
      <c r="P27" s="671">
        <v>53974.285714285717</v>
      </c>
      <c r="Q27" s="671">
        <v>0</v>
      </c>
      <c r="R27" s="671">
        <v>0</v>
      </c>
      <c r="S27" s="671">
        <v>0</v>
      </c>
      <c r="T27" s="671">
        <v>0</v>
      </c>
      <c r="U27" s="671">
        <v>0</v>
      </c>
      <c r="V27" s="671">
        <v>0</v>
      </c>
      <c r="W27" s="671">
        <v>0</v>
      </c>
      <c r="X27" s="671">
        <v>800</v>
      </c>
      <c r="Y27" s="671" t="s">
        <v>36</v>
      </c>
      <c r="Z27" s="673" t="s">
        <v>389</v>
      </c>
    </row>
    <row r="28" spans="1:26" s="625" customFormat="1" ht="25.5">
      <c r="A28" s="624"/>
      <c r="B28" s="851">
        <v>11052</v>
      </c>
      <c r="C28" s="851">
        <v>2160</v>
      </c>
      <c r="D28" s="672" t="s">
        <v>861</v>
      </c>
      <c r="E28" s="671" t="s">
        <v>862</v>
      </c>
      <c r="F28" s="671" t="s">
        <v>863</v>
      </c>
      <c r="G28" s="671" t="s">
        <v>858</v>
      </c>
      <c r="H28" s="671" t="s">
        <v>859</v>
      </c>
      <c r="I28" s="671" t="s">
        <v>862</v>
      </c>
      <c r="J28" s="850">
        <v>39750</v>
      </c>
      <c r="K28" s="850">
        <v>39750</v>
      </c>
      <c r="L28" s="671" t="s">
        <v>864</v>
      </c>
      <c r="M28" s="671">
        <v>290</v>
      </c>
      <c r="N28" s="671">
        <v>1305</v>
      </c>
      <c r="O28" s="671">
        <v>1864.2857142857142</v>
      </c>
      <c r="P28" s="671">
        <v>3728.5714285714289</v>
      </c>
      <c r="Q28" s="671">
        <v>0</v>
      </c>
      <c r="R28" s="671">
        <v>0</v>
      </c>
      <c r="S28" s="671">
        <v>0</v>
      </c>
      <c r="T28" s="671">
        <v>0</v>
      </c>
      <c r="U28" s="671">
        <v>0</v>
      </c>
      <c r="V28" s="671">
        <v>0</v>
      </c>
      <c r="W28" s="671">
        <v>0</v>
      </c>
      <c r="X28" s="671">
        <v>10</v>
      </c>
      <c r="Y28" s="671" t="s">
        <v>112</v>
      </c>
      <c r="Z28" s="673" t="s">
        <v>112</v>
      </c>
    </row>
    <row r="29" spans="1:26" s="625" customFormat="1" ht="25.5">
      <c r="A29" s="624"/>
      <c r="B29" s="851">
        <v>11052</v>
      </c>
      <c r="C29" s="851">
        <v>2160</v>
      </c>
      <c r="D29" s="672" t="s">
        <v>865</v>
      </c>
      <c r="E29" s="671" t="s">
        <v>866</v>
      </c>
      <c r="F29" s="671" t="s">
        <v>867</v>
      </c>
      <c r="G29" s="671" t="s">
        <v>858</v>
      </c>
      <c r="H29" s="671" t="s">
        <v>859</v>
      </c>
      <c r="I29" s="671" t="s">
        <v>866</v>
      </c>
      <c r="J29" s="850">
        <v>40590</v>
      </c>
      <c r="K29" s="850">
        <v>40655</v>
      </c>
      <c r="L29" s="671" t="s">
        <v>860</v>
      </c>
      <c r="M29" s="671">
        <v>1286</v>
      </c>
      <c r="N29" s="671">
        <v>5787</v>
      </c>
      <c r="O29" s="671">
        <v>8267.1428571428569</v>
      </c>
      <c r="P29" s="671">
        <v>16534.285714285714</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5774</v>
      </c>
      <c r="N57" s="629">
        <f>SUM(N27:N56)</f>
        <v>25983</v>
      </c>
      <c r="O57" s="629">
        <f t="shared" ref="O57:W57" si="2">SUM(O27:O56)</f>
        <v>37118.571428571428</v>
      </c>
      <c r="P57" s="629">
        <f t="shared" si="2"/>
        <v>74237.142857142855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4198</v>
      </c>
      <c r="N58" s="629">
        <f t="shared" ref="N58:W58" si="3">SUMIF($Z$27:$Z$56,"industrie",N27:N56)</f>
        <v>18891</v>
      </c>
      <c r="O58" s="629">
        <f t="shared" si="3"/>
        <v>26987.142857142859</v>
      </c>
      <c r="P58" s="629">
        <f t="shared" si="3"/>
        <v>53974.285714285717</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1576</v>
      </c>
      <c r="N60" s="634">
        <f t="shared" ref="N60:W60" si="4">SUMIF($Z$27:$Z$56,"landbouw",N27:N56)</f>
        <v>7092</v>
      </c>
      <c r="O60" s="634">
        <f t="shared" si="4"/>
        <v>10131.428571428571</v>
      </c>
      <c r="P60" s="634">
        <f t="shared" si="4"/>
        <v>20262.857142857141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30568.235294117643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43668.907563025212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30620.770139186996</v>
      </c>
      <c r="D10" s="718">
        <f ca="1">tertiair!C16</f>
        <v>0</v>
      </c>
      <c r="E10" s="718">
        <f ca="1">tertiair!D16</f>
        <v>34530.897204662979</v>
      </c>
      <c r="F10" s="718">
        <f>tertiair!E16</f>
        <v>661.54191788817786</v>
      </c>
      <c r="G10" s="718">
        <f ca="1">tertiair!F16</f>
        <v>6925.2635092919909</v>
      </c>
      <c r="H10" s="718">
        <f>tertiair!G16</f>
        <v>0</v>
      </c>
      <c r="I10" s="718">
        <f>tertiair!H16</f>
        <v>0</v>
      </c>
      <c r="J10" s="718">
        <f>tertiair!I16</f>
        <v>0</v>
      </c>
      <c r="K10" s="718">
        <f>tertiair!J16</f>
        <v>0</v>
      </c>
      <c r="L10" s="718">
        <f>tertiair!K16</f>
        <v>0</v>
      </c>
      <c r="M10" s="718">
        <f ca="1">tertiair!L16</f>
        <v>0</v>
      </c>
      <c r="N10" s="718">
        <f>tertiair!M16</f>
        <v>0</v>
      </c>
      <c r="O10" s="718">
        <f ca="1">tertiair!N16</f>
        <v>2339.6176578438872</v>
      </c>
      <c r="P10" s="718">
        <f>tertiair!O16</f>
        <v>1.5633333333333335</v>
      </c>
      <c r="Q10" s="719">
        <f>tertiair!P16</f>
        <v>38.133333333333333</v>
      </c>
      <c r="R10" s="721">
        <f ca="1">SUM(C10:Q10)</f>
        <v>75117.787095540698</v>
      </c>
      <c r="S10" s="67"/>
    </row>
    <row r="11" spans="1:19" s="474" customFormat="1">
      <c r="A11" s="870" t="s">
        <v>225</v>
      </c>
      <c r="B11" s="875"/>
      <c r="C11" s="718">
        <f>huishoudens!B8</f>
        <v>21296.343752053886</v>
      </c>
      <c r="D11" s="718">
        <f>huishoudens!C8</f>
        <v>0</v>
      </c>
      <c r="E11" s="718">
        <f>huishoudens!D8</f>
        <v>59396.045634177994</v>
      </c>
      <c r="F11" s="718">
        <f>huishoudens!E8</f>
        <v>1433.1969075013599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5851.1622677528685</v>
      </c>
      <c r="P11" s="718">
        <f>huishoudens!O8</f>
        <v>189.16333333333336</v>
      </c>
      <c r="Q11" s="719">
        <f>huishoudens!P8</f>
        <v>286</v>
      </c>
      <c r="R11" s="721">
        <f>SUM(C11:Q11)</f>
        <v>88451.911894819437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48636.671576590001</v>
      </c>
      <c r="D13" s="718">
        <f>industrie!C18</f>
        <v>26987.142857142859</v>
      </c>
      <c r="E13" s="718">
        <f>industrie!D18</f>
        <v>17623.497212371753</v>
      </c>
      <c r="F13" s="718">
        <f>industrie!E18</f>
        <v>1168.5675720060217</v>
      </c>
      <c r="G13" s="718">
        <f>industrie!F18</f>
        <v>7041.7971096052561</v>
      </c>
      <c r="H13" s="718">
        <f>industrie!G18</f>
        <v>0</v>
      </c>
      <c r="I13" s="718">
        <f>industrie!H18</f>
        <v>0</v>
      </c>
      <c r="J13" s="718">
        <f>industrie!I18</f>
        <v>0</v>
      </c>
      <c r="K13" s="718">
        <f>industrie!J18</f>
        <v>269.67132782079523</v>
      </c>
      <c r="L13" s="718">
        <f>industrie!K18</f>
        <v>0</v>
      </c>
      <c r="M13" s="718">
        <f>industrie!L18</f>
        <v>0</v>
      </c>
      <c r="N13" s="718">
        <f>industrie!M18</f>
        <v>0</v>
      </c>
      <c r="O13" s="718">
        <f>industrie!N18</f>
        <v>14971.083923702319</v>
      </c>
      <c r="P13" s="718">
        <f>industrie!O18</f>
        <v>0</v>
      </c>
      <c r="Q13" s="719">
        <f>industrie!P18</f>
        <v>0</v>
      </c>
      <c r="R13" s="721">
        <f>SUM(C13:Q13)</f>
        <v>116698.431579239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100553.78546783088</v>
      </c>
      <c r="D15" s="723">
        <f t="shared" ref="D15:Q15" ca="1" si="0">SUM(D9:D14)</f>
        <v>26987.142857142859</v>
      </c>
      <c r="E15" s="723">
        <f t="shared" ca="1" si="0"/>
        <v>111550.44005121273</v>
      </c>
      <c r="F15" s="723">
        <f t="shared" si="0"/>
        <v>3263.3063973955595</v>
      </c>
      <c r="G15" s="723">
        <f t="shared" ca="1" si="0"/>
        <v>13967.060618897247</v>
      </c>
      <c r="H15" s="723">
        <f t="shared" si="0"/>
        <v>0</v>
      </c>
      <c r="I15" s="723">
        <f t="shared" si="0"/>
        <v>0</v>
      </c>
      <c r="J15" s="723">
        <f t="shared" si="0"/>
        <v>0</v>
      </c>
      <c r="K15" s="723">
        <f t="shared" si="0"/>
        <v>269.67132782079523</v>
      </c>
      <c r="L15" s="723">
        <f t="shared" si="0"/>
        <v>0</v>
      </c>
      <c r="M15" s="723">
        <f t="shared" ca="1" si="0"/>
        <v>0</v>
      </c>
      <c r="N15" s="723">
        <f t="shared" si="0"/>
        <v>0</v>
      </c>
      <c r="O15" s="723">
        <f t="shared" ca="1" si="0"/>
        <v>23161.863849299076</v>
      </c>
      <c r="P15" s="723">
        <f t="shared" si="0"/>
        <v>190.72666666666669</v>
      </c>
      <c r="Q15" s="724">
        <f t="shared" si="0"/>
        <v>324.13333333333333</v>
      </c>
      <c r="R15" s="725">
        <f ca="1">SUM(R9:R14)</f>
        <v>280268.1305695991</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2314.0806571039166</v>
      </c>
      <c r="I18" s="718">
        <f>transport!H54</f>
        <v>0</v>
      </c>
      <c r="J18" s="718">
        <f>transport!I54</f>
        <v>0</v>
      </c>
      <c r="K18" s="718">
        <f>transport!J54</f>
        <v>0</v>
      </c>
      <c r="L18" s="718">
        <f>transport!K54</f>
        <v>0</v>
      </c>
      <c r="M18" s="718">
        <f>transport!L54</f>
        <v>0</v>
      </c>
      <c r="N18" s="718">
        <f>transport!M54</f>
        <v>71.77760496356693</v>
      </c>
      <c r="O18" s="718">
        <f>transport!N54</f>
        <v>0</v>
      </c>
      <c r="P18" s="718">
        <f>transport!O54</f>
        <v>0</v>
      </c>
      <c r="Q18" s="719">
        <f>transport!P54</f>
        <v>0</v>
      </c>
      <c r="R18" s="721">
        <f>SUM(C18:Q18)</f>
        <v>2385.8582620674833</v>
      </c>
      <c r="S18" s="67"/>
    </row>
    <row r="19" spans="1:19" s="474" customFormat="1" ht="15" thickBot="1">
      <c r="A19" s="870" t="s">
        <v>307</v>
      </c>
      <c r="B19" s="875"/>
      <c r="C19" s="727">
        <f>transport!B14</f>
        <v>50.60310593232667</v>
      </c>
      <c r="D19" s="727">
        <f>transport!C14</f>
        <v>0</v>
      </c>
      <c r="E19" s="727">
        <f>transport!D14</f>
        <v>108.25344062439225</v>
      </c>
      <c r="F19" s="727">
        <f>transport!E14</f>
        <v>503.85946627074208</v>
      </c>
      <c r="G19" s="727">
        <f>transport!F14</f>
        <v>0</v>
      </c>
      <c r="H19" s="727">
        <f>transport!G14</f>
        <v>217274.58178413342</v>
      </c>
      <c r="I19" s="727">
        <f>transport!H14</f>
        <v>30212.383205952076</v>
      </c>
      <c r="J19" s="727">
        <f>transport!I14</f>
        <v>0</v>
      </c>
      <c r="K19" s="727">
        <f>transport!J14</f>
        <v>0</v>
      </c>
      <c r="L19" s="727">
        <f>transport!K14</f>
        <v>0</v>
      </c>
      <c r="M19" s="727">
        <f>transport!L14</f>
        <v>0</v>
      </c>
      <c r="N19" s="727">
        <f>transport!M14</f>
        <v>7750.0512610010628</v>
      </c>
      <c r="O19" s="727">
        <f>transport!N14</f>
        <v>0</v>
      </c>
      <c r="P19" s="727">
        <f>transport!O14</f>
        <v>0</v>
      </c>
      <c r="Q19" s="728">
        <f>transport!P14</f>
        <v>0</v>
      </c>
      <c r="R19" s="729">
        <f>SUM(C19:Q19)</f>
        <v>255899.73226391402</v>
      </c>
      <c r="S19" s="67"/>
    </row>
    <row r="20" spans="1:19" s="474" customFormat="1" ht="15.75" thickBot="1">
      <c r="A20" s="730" t="s">
        <v>230</v>
      </c>
      <c r="B20" s="878"/>
      <c r="C20" s="873">
        <f>SUM(C17:C19)</f>
        <v>50.60310593232667</v>
      </c>
      <c r="D20" s="731">
        <f t="shared" ref="D20:R20" si="1">SUM(D17:D19)</f>
        <v>0</v>
      </c>
      <c r="E20" s="731">
        <f t="shared" si="1"/>
        <v>108.25344062439225</v>
      </c>
      <c r="F20" s="731">
        <f t="shared" si="1"/>
        <v>503.85946627074208</v>
      </c>
      <c r="G20" s="731">
        <f t="shared" si="1"/>
        <v>0</v>
      </c>
      <c r="H20" s="731">
        <f t="shared" si="1"/>
        <v>219588.66244123733</v>
      </c>
      <c r="I20" s="731">
        <f t="shared" si="1"/>
        <v>30212.383205952076</v>
      </c>
      <c r="J20" s="731">
        <f t="shared" si="1"/>
        <v>0</v>
      </c>
      <c r="K20" s="731">
        <f t="shared" si="1"/>
        <v>0</v>
      </c>
      <c r="L20" s="731">
        <f t="shared" si="1"/>
        <v>0</v>
      </c>
      <c r="M20" s="731">
        <f t="shared" si="1"/>
        <v>0</v>
      </c>
      <c r="N20" s="731">
        <f t="shared" si="1"/>
        <v>7821.8288659646296</v>
      </c>
      <c r="O20" s="731">
        <f t="shared" si="1"/>
        <v>0</v>
      </c>
      <c r="P20" s="731">
        <f t="shared" si="1"/>
        <v>0</v>
      </c>
      <c r="Q20" s="732">
        <f t="shared" si="1"/>
        <v>0</v>
      </c>
      <c r="R20" s="733">
        <f t="shared" si="1"/>
        <v>258285.5905259815</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392.51805985899995</v>
      </c>
      <c r="D22" s="727">
        <f>+landbouw!C8</f>
        <v>10131.428571428571</v>
      </c>
      <c r="E22" s="727">
        <f>+landbouw!D8</f>
        <v>0</v>
      </c>
      <c r="F22" s="727">
        <f>+landbouw!E8</f>
        <v>10.121533668656186</v>
      </c>
      <c r="G22" s="727">
        <f>+landbouw!F8</f>
        <v>1434.7282602179343</v>
      </c>
      <c r="H22" s="727">
        <f>+landbouw!G8</f>
        <v>0</v>
      </c>
      <c r="I22" s="727">
        <f>+landbouw!H8</f>
        <v>0</v>
      </c>
      <c r="J22" s="727">
        <f>+landbouw!I8</f>
        <v>0</v>
      </c>
      <c r="K22" s="727">
        <f>+landbouw!J8</f>
        <v>56.508161192432581</v>
      </c>
      <c r="L22" s="727">
        <f>+landbouw!K8</f>
        <v>0</v>
      </c>
      <c r="M22" s="727">
        <f>+landbouw!L8</f>
        <v>0</v>
      </c>
      <c r="N22" s="727">
        <f>+landbouw!M8</f>
        <v>0</v>
      </c>
      <c r="O22" s="727">
        <f>+landbouw!N8</f>
        <v>0</v>
      </c>
      <c r="P22" s="727">
        <f>+landbouw!O8</f>
        <v>0</v>
      </c>
      <c r="Q22" s="728">
        <f>+landbouw!P8</f>
        <v>0</v>
      </c>
      <c r="R22" s="729">
        <f>SUM(C22:Q22)</f>
        <v>12025.304586366594</v>
      </c>
      <c r="S22" s="67"/>
    </row>
    <row r="23" spans="1:19" s="474" customFormat="1" ht="17.25" thickTop="1" thickBot="1">
      <c r="A23" s="734" t="s">
        <v>116</v>
      </c>
      <c r="B23" s="864"/>
      <c r="C23" s="735">
        <f ca="1">C20+C15+C22</f>
        <v>100996.9066336222</v>
      </c>
      <c r="D23" s="735">
        <f t="shared" ref="D23:Q23" ca="1" si="2">D20+D15+D22</f>
        <v>37118.571428571428</v>
      </c>
      <c r="E23" s="735">
        <f t="shared" ca="1" si="2"/>
        <v>111658.69349183713</v>
      </c>
      <c r="F23" s="735">
        <f t="shared" si="2"/>
        <v>3777.2873973349579</v>
      </c>
      <c r="G23" s="735">
        <f t="shared" ca="1" si="2"/>
        <v>15401.788879115182</v>
      </c>
      <c r="H23" s="735">
        <f t="shared" si="2"/>
        <v>219588.66244123733</v>
      </c>
      <c r="I23" s="735">
        <f t="shared" si="2"/>
        <v>30212.383205952076</v>
      </c>
      <c r="J23" s="735">
        <f t="shared" si="2"/>
        <v>0</v>
      </c>
      <c r="K23" s="735">
        <f t="shared" si="2"/>
        <v>326.17948901322779</v>
      </c>
      <c r="L23" s="735">
        <f t="shared" si="2"/>
        <v>0</v>
      </c>
      <c r="M23" s="735">
        <f t="shared" ca="1" si="2"/>
        <v>0</v>
      </c>
      <c r="N23" s="735">
        <f t="shared" si="2"/>
        <v>7821.8288659646296</v>
      </c>
      <c r="O23" s="735">
        <f t="shared" ca="1" si="2"/>
        <v>23161.863849299076</v>
      </c>
      <c r="P23" s="735">
        <f t="shared" si="2"/>
        <v>190.72666666666669</v>
      </c>
      <c r="Q23" s="736">
        <f t="shared" si="2"/>
        <v>324.13333333333333</v>
      </c>
      <c r="R23" s="737">
        <f ca="1">R20+R15+R22</f>
        <v>550579.02568194724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6538.511343377455</v>
      </c>
      <c r="D36" s="718">
        <f ca="1">tertiair!C20</f>
        <v>0</v>
      </c>
      <c r="E36" s="718">
        <f ca="1">tertiair!D20</f>
        <v>6975.2412353419222</v>
      </c>
      <c r="F36" s="718">
        <f>tertiair!E20</f>
        <v>150.17001536061639</v>
      </c>
      <c r="G36" s="718">
        <f ca="1">tertiair!F20</f>
        <v>1849.0453569809617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15512.967951060955</v>
      </c>
    </row>
    <row r="37" spans="1:18">
      <c r="A37" s="885" t="s">
        <v>225</v>
      </c>
      <c r="B37" s="892"/>
      <c r="C37" s="718">
        <f ca="1">huishoudens!B12</f>
        <v>4547.4488251707644</v>
      </c>
      <c r="D37" s="718">
        <f ca="1">huishoudens!C12</f>
        <v>0</v>
      </c>
      <c r="E37" s="718">
        <f>huishoudens!D12</f>
        <v>11998.001218103955</v>
      </c>
      <c r="F37" s="718">
        <f>huishoudens!E12</f>
        <v>325.33569800280873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16870.785741277527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10385.481075823163</v>
      </c>
      <c r="D39" s="718">
        <f ca="1">industrie!C22</f>
        <v>6413.4151260504223</v>
      </c>
      <c r="E39" s="718">
        <f>industrie!D22</f>
        <v>3559.9464368990944</v>
      </c>
      <c r="F39" s="718">
        <f>industrie!E22</f>
        <v>265.26483884536691</v>
      </c>
      <c r="G39" s="718">
        <f>industrie!F22</f>
        <v>1880.1598282646034</v>
      </c>
      <c r="H39" s="718">
        <f>industrie!G22</f>
        <v>0</v>
      </c>
      <c r="I39" s="718">
        <f>industrie!H22</f>
        <v>0</v>
      </c>
      <c r="J39" s="718">
        <f>industrie!I22</f>
        <v>0</v>
      </c>
      <c r="K39" s="718">
        <f>industrie!J22</f>
        <v>95.463650048561504</v>
      </c>
      <c r="L39" s="718">
        <f>industrie!K22</f>
        <v>0</v>
      </c>
      <c r="M39" s="718">
        <f>industrie!L22</f>
        <v>0</v>
      </c>
      <c r="N39" s="718">
        <f>industrie!M22</f>
        <v>0</v>
      </c>
      <c r="O39" s="718">
        <f>industrie!N22</f>
        <v>0</v>
      </c>
      <c r="P39" s="718">
        <f>industrie!O22</f>
        <v>0</v>
      </c>
      <c r="Q39" s="828">
        <f>industrie!P22</f>
        <v>0</v>
      </c>
      <c r="R39" s="918">
        <f ca="1">SUM(C39:Q39)</f>
        <v>22599.730955931213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21471.441244371381</v>
      </c>
      <c r="D41" s="763">
        <f t="shared" ref="D41:R41" ca="1" si="4">SUM(D35:D40)</f>
        <v>6413.4151260504223</v>
      </c>
      <c r="E41" s="763">
        <f t="shared" ca="1" si="4"/>
        <v>22533.188890344973</v>
      </c>
      <c r="F41" s="763">
        <f t="shared" si="4"/>
        <v>740.77055220879197</v>
      </c>
      <c r="G41" s="763">
        <f t="shared" ca="1" si="4"/>
        <v>3729.2051852455652</v>
      </c>
      <c r="H41" s="763">
        <f t="shared" si="4"/>
        <v>0</v>
      </c>
      <c r="I41" s="763">
        <f t="shared" si="4"/>
        <v>0</v>
      </c>
      <c r="J41" s="763">
        <f t="shared" si="4"/>
        <v>0</v>
      </c>
      <c r="K41" s="763">
        <f t="shared" si="4"/>
        <v>95.463650048561504</v>
      </c>
      <c r="L41" s="763">
        <f t="shared" si="4"/>
        <v>0</v>
      </c>
      <c r="M41" s="763">
        <f t="shared" ca="1" si="4"/>
        <v>0</v>
      </c>
      <c r="N41" s="763">
        <f t="shared" si="4"/>
        <v>0</v>
      </c>
      <c r="O41" s="763">
        <f t="shared" ca="1" si="4"/>
        <v>0</v>
      </c>
      <c r="P41" s="763">
        <f t="shared" si="4"/>
        <v>0</v>
      </c>
      <c r="Q41" s="764">
        <f t="shared" si="4"/>
        <v>0</v>
      </c>
      <c r="R41" s="765">
        <f t="shared" ca="1" si="4"/>
        <v>54983.484648269696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617.85953544674578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617.85953544674578</v>
      </c>
    </row>
    <row r="45" spans="1:18" ht="15" thickBot="1">
      <c r="A45" s="888" t="s">
        <v>307</v>
      </c>
      <c r="B45" s="898"/>
      <c r="C45" s="727">
        <f ca="1">transport!B18</f>
        <v>10.805377547484301</v>
      </c>
      <c r="D45" s="727">
        <f>transport!C18</f>
        <v>0</v>
      </c>
      <c r="E45" s="727">
        <f>transport!D18</f>
        <v>21.867195006127236</v>
      </c>
      <c r="F45" s="727">
        <f>transport!E18</f>
        <v>114.37609884345845</v>
      </c>
      <c r="G45" s="727">
        <f>transport!F18</f>
        <v>0</v>
      </c>
      <c r="H45" s="727">
        <f>transport!G18</f>
        <v>58012.31333636363</v>
      </c>
      <c r="I45" s="727">
        <f>transport!H18</f>
        <v>7522.8834182820665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65682.245426042762</v>
      </c>
    </row>
    <row r="46" spans="1:18" ht="15.75" thickBot="1">
      <c r="A46" s="886" t="s">
        <v>230</v>
      </c>
      <c r="B46" s="899"/>
      <c r="C46" s="763">
        <f t="shared" ref="C46:R46" ca="1" si="5">SUM(C43:C45)</f>
        <v>10.805377547484301</v>
      </c>
      <c r="D46" s="763">
        <f t="shared" ca="1" si="5"/>
        <v>0</v>
      </c>
      <c r="E46" s="763">
        <f t="shared" si="5"/>
        <v>21.867195006127236</v>
      </c>
      <c r="F46" s="763">
        <f t="shared" si="5"/>
        <v>114.37609884345845</v>
      </c>
      <c r="G46" s="763">
        <f t="shared" si="5"/>
        <v>0</v>
      </c>
      <c r="H46" s="763">
        <f t="shared" si="5"/>
        <v>58630.172871810377</v>
      </c>
      <c r="I46" s="763">
        <f t="shared" si="5"/>
        <v>7522.8834182820665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66300.104961489502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83.815128594173373</v>
      </c>
      <c r="D48" s="718">
        <f ca="1">+landbouw!C12</f>
        <v>2407.7042016806727</v>
      </c>
      <c r="E48" s="718">
        <f>+landbouw!D12</f>
        <v>0</v>
      </c>
      <c r="F48" s="718">
        <f>+landbouw!E12</f>
        <v>2.2975881427849543</v>
      </c>
      <c r="G48" s="718">
        <f>+landbouw!F12</f>
        <v>383.07244547818851</v>
      </c>
      <c r="H48" s="718">
        <f>+landbouw!G12</f>
        <v>0</v>
      </c>
      <c r="I48" s="718">
        <f>+landbouw!H12</f>
        <v>0</v>
      </c>
      <c r="J48" s="718">
        <f>+landbouw!I12</f>
        <v>0</v>
      </c>
      <c r="K48" s="718">
        <f>+landbouw!J12</f>
        <v>20.003889062121132</v>
      </c>
      <c r="L48" s="718">
        <f>+landbouw!K12</f>
        <v>0</v>
      </c>
      <c r="M48" s="718">
        <f>+landbouw!L12</f>
        <v>0</v>
      </c>
      <c r="N48" s="718">
        <f>+landbouw!M12</f>
        <v>0</v>
      </c>
      <c r="O48" s="718">
        <f>+landbouw!N12</f>
        <v>0</v>
      </c>
      <c r="P48" s="718">
        <f>+landbouw!O12</f>
        <v>0</v>
      </c>
      <c r="Q48" s="719">
        <f>+landbouw!P12</f>
        <v>0</v>
      </c>
      <c r="R48" s="761">
        <f ca="1">SUM(C48:Q48)</f>
        <v>2896.8932529579411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21566.061750513039</v>
      </c>
      <c r="D53" s="773">
        <f t="shared" ref="D53:Q53" ca="1" si="6">D41+D46+D48</f>
        <v>8821.1193277310958</v>
      </c>
      <c r="E53" s="773">
        <f t="shared" ca="1" si="6"/>
        <v>22555.056085351102</v>
      </c>
      <c r="F53" s="773">
        <f t="shared" si="6"/>
        <v>857.44423919503538</v>
      </c>
      <c r="G53" s="773">
        <f t="shared" ca="1" si="6"/>
        <v>4112.2776307237536</v>
      </c>
      <c r="H53" s="773">
        <f t="shared" si="6"/>
        <v>58630.172871810377</v>
      </c>
      <c r="I53" s="773">
        <f t="shared" si="6"/>
        <v>7522.8834182820665</v>
      </c>
      <c r="J53" s="773">
        <f t="shared" si="6"/>
        <v>0</v>
      </c>
      <c r="K53" s="773">
        <f t="shared" si="6"/>
        <v>115.46753911068264</v>
      </c>
      <c r="L53" s="773">
        <f t="shared" si="6"/>
        <v>0</v>
      </c>
      <c r="M53" s="773">
        <f t="shared" ca="1" si="6"/>
        <v>0</v>
      </c>
      <c r="N53" s="773">
        <f t="shared" si="6"/>
        <v>0</v>
      </c>
      <c r="O53" s="773">
        <f t="shared" ca="1" si="6"/>
        <v>0</v>
      </c>
      <c r="P53" s="773">
        <f>P41+P46+P48</f>
        <v>0</v>
      </c>
      <c r="Q53" s="774">
        <f t="shared" si="6"/>
        <v>0</v>
      </c>
      <c r="R53" s="775">
        <f ca="1">R41+R46+R48</f>
        <v>124180.48286271714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0.2135319037913348</v>
      </c>
      <c r="D55" s="836">
        <f t="shared" ca="1" si="7"/>
        <v>0.23764705882352952</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5370.1137779603141</v>
      </c>
      <c r="C66" s="795">
        <f>'lokale energieproductie'!B6</f>
        <v>5370.1137779603141</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25983</v>
      </c>
      <c r="C67" s="794">
        <f>B67*IFERROR(SUM(J67:L67)/SUM(D67:M67),0)</f>
        <v>0</v>
      </c>
      <c r="D67" s="826">
        <f>'lokale energieproductie'!C7</f>
        <v>30568.235294117643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6174.783529411764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31353.113777960316</v>
      </c>
      <c r="C69" s="803">
        <f>SUM(C64:C68)</f>
        <v>5370.1137779603141</v>
      </c>
      <c r="D69" s="804">
        <f t="shared" ref="D69:M69" si="8">SUM(D67:D68)</f>
        <v>30568.235294117643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6174.783529411764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37118.571428571428</v>
      </c>
      <c r="C78" s="817">
        <f>B78*IFERROR(SUM(I78:L78)/SUM(D78:M78),0)</f>
        <v>0</v>
      </c>
      <c r="D78" s="832">
        <f>'lokale energieproductie'!C16</f>
        <v>43668.907563025212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8821.119327731094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37118.571428571428</v>
      </c>
      <c r="C81" s="803">
        <f>SUM(C78:C80)</f>
        <v>0</v>
      </c>
      <c r="D81" s="803">
        <f t="shared" ref="D81:P81" si="9">SUM(D78:D80)</f>
        <v>43668.907563025212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8821.119327731094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21296.343752053886</v>
      </c>
      <c r="C4" s="478">
        <f>huishoudens!C8</f>
        <v>0</v>
      </c>
      <c r="D4" s="478">
        <f>huishoudens!D8</f>
        <v>59396.045634177994</v>
      </c>
      <c r="E4" s="478">
        <f>huishoudens!E8</f>
        <v>1433.1969075013599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5851.1622677528685</v>
      </c>
      <c r="O4" s="478">
        <f>huishoudens!O8</f>
        <v>189.16333333333336</v>
      </c>
      <c r="P4" s="479">
        <f>huishoudens!P8</f>
        <v>286</v>
      </c>
      <c r="Q4" s="480">
        <f>SUM(B4:P4)</f>
        <v>88451.911894819437</v>
      </c>
    </row>
    <row r="5" spans="1:17">
      <c r="A5" s="477" t="s">
        <v>156</v>
      </c>
      <c r="B5" s="478">
        <f ca="1">tertiair!B16</f>
        <v>29744.647139186996</v>
      </c>
      <c r="C5" s="478">
        <f ca="1">tertiair!C16</f>
        <v>0</v>
      </c>
      <c r="D5" s="478">
        <f ca="1">tertiair!D16</f>
        <v>34530.897204662979</v>
      </c>
      <c r="E5" s="478">
        <f>tertiair!E16</f>
        <v>661.54191788817786</v>
      </c>
      <c r="F5" s="478">
        <f ca="1">tertiair!F16</f>
        <v>6925.2635092919909</v>
      </c>
      <c r="G5" s="478">
        <f>tertiair!G16</f>
        <v>0</v>
      </c>
      <c r="H5" s="478">
        <f>tertiair!H16</f>
        <v>0</v>
      </c>
      <c r="I5" s="478">
        <f>tertiair!I16</f>
        <v>0</v>
      </c>
      <c r="J5" s="478">
        <f>tertiair!J16</f>
        <v>0</v>
      </c>
      <c r="K5" s="478">
        <f>tertiair!K16</f>
        <v>0</v>
      </c>
      <c r="L5" s="478">
        <f ca="1">tertiair!L16</f>
        <v>0</v>
      </c>
      <c r="M5" s="478">
        <f>tertiair!M16</f>
        <v>0</v>
      </c>
      <c r="N5" s="478">
        <f ca="1">tertiair!N16</f>
        <v>2339.6176578438872</v>
      </c>
      <c r="O5" s="478">
        <f>tertiair!O16</f>
        <v>1.5633333333333335</v>
      </c>
      <c r="P5" s="479">
        <f>tertiair!P16</f>
        <v>38.133333333333333</v>
      </c>
      <c r="Q5" s="477">
        <f t="shared" ref="Q5:Q13" ca="1" si="0">SUM(B5:P5)</f>
        <v>74241.664095540706</v>
      </c>
    </row>
    <row r="6" spans="1:17">
      <c r="A6" s="477" t="s">
        <v>194</v>
      </c>
      <c r="B6" s="478">
        <f>'openbare verlichting'!B8</f>
        <v>876.12300000000005</v>
      </c>
      <c r="C6" s="478"/>
      <c r="D6" s="478"/>
      <c r="E6" s="478"/>
      <c r="F6" s="478"/>
      <c r="G6" s="478"/>
      <c r="H6" s="478"/>
      <c r="I6" s="478"/>
      <c r="J6" s="478"/>
      <c r="K6" s="478"/>
      <c r="L6" s="478"/>
      <c r="M6" s="478"/>
      <c r="N6" s="478"/>
      <c r="O6" s="478"/>
      <c r="P6" s="479"/>
      <c r="Q6" s="477">
        <f t="shared" si="0"/>
        <v>876.12300000000005</v>
      </c>
    </row>
    <row r="7" spans="1:17">
      <c r="A7" s="477" t="s">
        <v>112</v>
      </c>
      <c r="B7" s="478">
        <f>landbouw!B8</f>
        <v>392.51805985899995</v>
      </c>
      <c r="C7" s="478">
        <f>landbouw!C8</f>
        <v>10131.428571428571</v>
      </c>
      <c r="D7" s="478">
        <f>landbouw!D8</f>
        <v>0</v>
      </c>
      <c r="E7" s="478">
        <f>landbouw!E8</f>
        <v>10.121533668656186</v>
      </c>
      <c r="F7" s="478">
        <f>landbouw!F8</f>
        <v>1434.7282602179343</v>
      </c>
      <c r="G7" s="478">
        <f>landbouw!G8</f>
        <v>0</v>
      </c>
      <c r="H7" s="478">
        <f>landbouw!H8</f>
        <v>0</v>
      </c>
      <c r="I7" s="478">
        <f>landbouw!I8</f>
        <v>0</v>
      </c>
      <c r="J7" s="478">
        <f>landbouw!J8</f>
        <v>56.508161192432581</v>
      </c>
      <c r="K7" s="478">
        <f>landbouw!K8</f>
        <v>0</v>
      </c>
      <c r="L7" s="478">
        <f>landbouw!L8</f>
        <v>0</v>
      </c>
      <c r="M7" s="478">
        <f>landbouw!M8</f>
        <v>0</v>
      </c>
      <c r="N7" s="478">
        <f>landbouw!N8</f>
        <v>0</v>
      </c>
      <c r="O7" s="478">
        <f>landbouw!O8</f>
        <v>0</v>
      </c>
      <c r="P7" s="479">
        <f>landbouw!P8</f>
        <v>0</v>
      </c>
      <c r="Q7" s="477">
        <f t="shared" si="0"/>
        <v>12025.304586366594</v>
      </c>
    </row>
    <row r="8" spans="1:17">
      <c r="A8" s="477" t="s">
        <v>638</v>
      </c>
      <c r="B8" s="478">
        <f>industrie!B18</f>
        <v>48636.671576590001</v>
      </c>
      <c r="C8" s="478">
        <f>industrie!C18</f>
        <v>26987.142857142859</v>
      </c>
      <c r="D8" s="478">
        <f>industrie!D18</f>
        <v>17623.497212371753</v>
      </c>
      <c r="E8" s="478">
        <f>industrie!E18</f>
        <v>1168.5675720060217</v>
      </c>
      <c r="F8" s="478">
        <f>industrie!F18</f>
        <v>7041.7971096052561</v>
      </c>
      <c r="G8" s="478">
        <f>industrie!G18</f>
        <v>0</v>
      </c>
      <c r="H8" s="478">
        <f>industrie!H18</f>
        <v>0</v>
      </c>
      <c r="I8" s="478">
        <f>industrie!I18</f>
        <v>0</v>
      </c>
      <c r="J8" s="478">
        <f>industrie!J18</f>
        <v>269.67132782079523</v>
      </c>
      <c r="K8" s="478">
        <f>industrie!K18</f>
        <v>0</v>
      </c>
      <c r="L8" s="478">
        <f>industrie!L18</f>
        <v>0</v>
      </c>
      <c r="M8" s="478">
        <f>industrie!M18</f>
        <v>0</v>
      </c>
      <c r="N8" s="478">
        <f>industrie!N18</f>
        <v>14971.083923702319</v>
      </c>
      <c r="O8" s="478">
        <f>industrie!O18</f>
        <v>0</v>
      </c>
      <c r="P8" s="479">
        <f>industrie!P18</f>
        <v>0</v>
      </c>
      <c r="Q8" s="477">
        <f t="shared" si="0"/>
        <v>116698.431579239</v>
      </c>
    </row>
    <row r="9" spans="1:17" s="483" customFormat="1">
      <c r="A9" s="481" t="s">
        <v>564</v>
      </c>
      <c r="B9" s="482">
        <f>transport!B14</f>
        <v>50.60310593232667</v>
      </c>
      <c r="C9" s="482"/>
      <c r="D9" s="482">
        <f>transport!D14</f>
        <v>108.25344062439225</v>
      </c>
      <c r="E9" s="482">
        <f>transport!E14</f>
        <v>503.85946627074208</v>
      </c>
      <c r="F9" s="482"/>
      <c r="G9" s="482">
        <f>transport!G14</f>
        <v>217274.58178413342</v>
      </c>
      <c r="H9" s="482">
        <f>transport!H14</f>
        <v>30212.383205952076</v>
      </c>
      <c r="I9" s="482"/>
      <c r="J9" s="482"/>
      <c r="K9" s="482"/>
      <c r="L9" s="482"/>
      <c r="M9" s="482">
        <f>transport!M14</f>
        <v>7750.0512610010628</v>
      </c>
      <c r="N9" s="482"/>
      <c r="O9" s="482"/>
      <c r="P9" s="482"/>
      <c r="Q9" s="481">
        <f>SUM(B9:P9)</f>
        <v>255899.73226391402</v>
      </c>
    </row>
    <row r="10" spans="1:17">
      <c r="A10" s="477" t="s">
        <v>554</v>
      </c>
      <c r="B10" s="478">
        <f>transport!B54</f>
        <v>0</v>
      </c>
      <c r="C10" s="478"/>
      <c r="D10" s="478">
        <f>transport!D54</f>
        <v>0</v>
      </c>
      <c r="E10" s="478"/>
      <c r="F10" s="478"/>
      <c r="G10" s="478">
        <f>transport!G54</f>
        <v>2314.0806571039166</v>
      </c>
      <c r="H10" s="478"/>
      <c r="I10" s="478"/>
      <c r="J10" s="478"/>
      <c r="K10" s="478"/>
      <c r="L10" s="478"/>
      <c r="M10" s="478">
        <f>transport!M54</f>
        <v>71.77760496356693</v>
      </c>
      <c r="N10" s="478"/>
      <c r="O10" s="478"/>
      <c r="P10" s="479"/>
      <c r="Q10" s="477">
        <f t="shared" si="0"/>
        <v>2385.8582620674833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100996.90663362222</v>
      </c>
      <c r="C14" s="488">
        <f t="shared" ref="C14:Q14" ca="1" si="1">SUM(C4:C13)</f>
        <v>37118.571428571428</v>
      </c>
      <c r="D14" s="488">
        <f t="shared" ca="1" si="1"/>
        <v>111658.69349183713</v>
      </c>
      <c r="E14" s="488">
        <f t="shared" si="1"/>
        <v>3777.2873973349579</v>
      </c>
      <c r="F14" s="488">
        <f t="shared" ca="1" si="1"/>
        <v>15401.788879115182</v>
      </c>
      <c r="G14" s="488">
        <f t="shared" si="1"/>
        <v>219588.66244123733</v>
      </c>
      <c r="H14" s="488">
        <f t="shared" si="1"/>
        <v>30212.383205952076</v>
      </c>
      <c r="I14" s="488">
        <f t="shared" si="1"/>
        <v>0</v>
      </c>
      <c r="J14" s="488">
        <f t="shared" si="1"/>
        <v>326.17948901322779</v>
      </c>
      <c r="K14" s="488">
        <f t="shared" si="1"/>
        <v>0</v>
      </c>
      <c r="L14" s="488">
        <f t="shared" ca="1" si="1"/>
        <v>0</v>
      </c>
      <c r="M14" s="488">
        <f t="shared" si="1"/>
        <v>7821.8288659646296</v>
      </c>
      <c r="N14" s="488">
        <f t="shared" ca="1" si="1"/>
        <v>23161.863849299076</v>
      </c>
      <c r="O14" s="488">
        <f t="shared" si="1"/>
        <v>190.72666666666669</v>
      </c>
      <c r="P14" s="489">
        <f t="shared" si="1"/>
        <v>324.13333333333333</v>
      </c>
      <c r="Q14" s="489">
        <f t="shared" ca="1" si="1"/>
        <v>550579.02568194713</v>
      </c>
    </row>
    <row r="16" spans="1:17">
      <c r="A16" s="491" t="s">
        <v>559</v>
      </c>
      <c r="B16" s="841">
        <f ca="1">huishoudens!B10</f>
        <v>0.2135319037913348</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4547.4488251707644</v>
      </c>
      <c r="C21" s="478">
        <f t="shared" ref="C21:C28" ca="1" si="3">C4*$C$16</f>
        <v>0</v>
      </c>
      <c r="D21" s="478">
        <f t="shared" ref="D21:D30" si="4">D4*$D$16</f>
        <v>11998.001218103955</v>
      </c>
      <c r="E21" s="478">
        <f t="shared" ref="E21:E30" si="5">E4*$E$16</f>
        <v>325.33569800280873</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16870.785741277527</v>
      </c>
    </row>
    <row r="22" spans="1:17">
      <c r="A22" s="477" t="s">
        <v>156</v>
      </c>
      <c r="B22" s="478">
        <f t="shared" ca="1" si="2"/>
        <v>6351.4311312320797</v>
      </c>
      <c r="C22" s="478">
        <f t="shared" ca="1" si="3"/>
        <v>0</v>
      </c>
      <c r="D22" s="478">
        <f t="shared" ca="1" si="4"/>
        <v>6975.2412353419222</v>
      </c>
      <c r="E22" s="478">
        <f t="shared" si="5"/>
        <v>150.17001536061639</v>
      </c>
      <c r="F22" s="478">
        <f t="shared" ca="1" si="6"/>
        <v>1849.0453569809617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15325.88773891558</v>
      </c>
    </row>
    <row r="23" spans="1:17">
      <c r="A23" s="477" t="s">
        <v>194</v>
      </c>
      <c r="B23" s="478">
        <f t="shared" ca="1" si="2"/>
        <v>187.08021214537564</v>
      </c>
      <c r="C23" s="478"/>
      <c r="D23" s="478"/>
      <c r="E23" s="478"/>
      <c r="F23" s="478"/>
      <c r="G23" s="478"/>
      <c r="H23" s="478"/>
      <c r="I23" s="478"/>
      <c r="J23" s="478"/>
      <c r="K23" s="478"/>
      <c r="L23" s="478"/>
      <c r="M23" s="478"/>
      <c r="N23" s="478"/>
      <c r="O23" s="478"/>
      <c r="P23" s="479"/>
      <c r="Q23" s="477">
        <f t="shared" ca="1" si="17"/>
        <v>187.08021214537564</v>
      </c>
    </row>
    <row r="24" spans="1:17">
      <c r="A24" s="477" t="s">
        <v>112</v>
      </c>
      <c r="B24" s="478">
        <f t="shared" ca="1" si="2"/>
        <v>83.815128594173373</v>
      </c>
      <c r="C24" s="478">
        <f t="shared" ca="1" si="3"/>
        <v>2407.7042016806727</v>
      </c>
      <c r="D24" s="478">
        <f t="shared" si="4"/>
        <v>0</v>
      </c>
      <c r="E24" s="478">
        <f t="shared" si="5"/>
        <v>2.2975881427849543</v>
      </c>
      <c r="F24" s="478">
        <f t="shared" si="6"/>
        <v>383.07244547818851</v>
      </c>
      <c r="G24" s="478">
        <f t="shared" si="7"/>
        <v>0</v>
      </c>
      <c r="H24" s="478">
        <f t="shared" si="8"/>
        <v>0</v>
      </c>
      <c r="I24" s="478">
        <f t="shared" si="9"/>
        <v>0</v>
      </c>
      <c r="J24" s="478">
        <f t="shared" si="10"/>
        <v>20.003889062121132</v>
      </c>
      <c r="K24" s="478">
        <f t="shared" si="11"/>
        <v>0</v>
      </c>
      <c r="L24" s="478">
        <f t="shared" si="12"/>
        <v>0</v>
      </c>
      <c r="M24" s="478">
        <f t="shared" si="13"/>
        <v>0</v>
      </c>
      <c r="N24" s="478">
        <f t="shared" si="14"/>
        <v>0</v>
      </c>
      <c r="O24" s="478">
        <f t="shared" si="15"/>
        <v>0</v>
      </c>
      <c r="P24" s="479">
        <f t="shared" si="16"/>
        <v>0</v>
      </c>
      <c r="Q24" s="477">
        <f t="shared" ca="1" si="17"/>
        <v>2896.8932529579411</v>
      </c>
    </row>
    <row r="25" spans="1:17">
      <c r="A25" s="477" t="s">
        <v>638</v>
      </c>
      <c r="B25" s="478">
        <f t="shared" ca="1" si="2"/>
        <v>10385.481075823163</v>
      </c>
      <c r="C25" s="478">
        <f t="shared" ca="1" si="3"/>
        <v>6413.4151260504223</v>
      </c>
      <c r="D25" s="478">
        <f t="shared" si="4"/>
        <v>3559.9464368990944</v>
      </c>
      <c r="E25" s="478">
        <f t="shared" si="5"/>
        <v>265.26483884536691</v>
      </c>
      <c r="F25" s="478">
        <f t="shared" si="6"/>
        <v>1880.1598282646034</v>
      </c>
      <c r="G25" s="478">
        <f t="shared" si="7"/>
        <v>0</v>
      </c>
      <c r="H25" s="478">
        <f t="shared" si="8"/>
        <v>0</v>
      </c>
      <c r="I25" s="478">
        <f t="shared" si="9"/>
        <v>0</v>
      </c>
      <c r="J25" s="478">
        <f t="shared" si="10"/>
        <v>95.463650048561504</v>
      </c>
      <c r="K25" s="478">
        <f t="shared" si="11"/>
        <v>0</v>
      </c>
      <c r="L25" s="478">
        <f t="shared" si="12"/>
        <v>0</v>
      </c>
      <c r="M25" s="478">
        <f t="shared" si="13"/>
        <v>0</v>
      </c>
      <c r="N25" s="478">
        <f t="shared" si="14"/>
        <v>0</v>
      </c>
      <c r="O25" s="478">
        <f t="shared" si="15"/>
        <v>0</v>
      </c>
      <c r="P25" s="479">
        <f t="shared" si="16"/>
        <v>0</v>
      </c>
      <c r="Q25" s="477">
        <f t="shared" ca="1" si="17"/>
        <v>22599.730955931213</v>
      </c>
    </row>
    <row r="26" spans="1:17" s="483" customFormat="1">
      <c r="A26" s="481" t="s">
        <v>564</v>
      </c>
      <c r="B26" s="835">
        <f t="shared" ca="1" si="2"/>
        <v>10.805377547484301</v>
      </c>
      <c r="C26" s="482"/>
      <c r="D26" s="482">
        <f t="shared" si="4"/>
        <v>21.867195006127236</v>
      </c>
      <c r="E26" s="482">
        <f t="shared" si="5"/>
        <v>114.37609884345845</v>
      </c>
      <c r="F26" s="482"/>
      <c r="G26" s="482">
        <f t="shared" si="7"/>
        <v>58012.31333636363</v>
      </c>
      <c r="H26" s="482">
        <f t="shared" si="8"/>
        <v>7522.8834182820665</v>
      </c>
      <c r="I26" s="482"/>
      <c r="J26" s="482"/>
      <c r="K26" s="482"/>
      <c r="L26" s="482"/>
      <c r="M26" s="482">
        <f t="shared" si="13"/>
        <v>0</v>
      </c>
      <c r="N26" s="482"/>
      <c r="O26" s="482"/>
      <c r="P26" s="493"/>
      <c r="Q26" s="481">
        <f t="shared" ca="1" si="17"/>
        <v>65682.245426042762</v>
      </c>
    </row>
    <row r="27" spans="1:17">
      <c r="A27" s="477" t="s">
        <v>554</v>
      </c>
      <c r="B27" s="478">
        <f t="shared" ca="1" si="2"/>
        <v>0</v>
      </c>
      <c r="C27" s="478"/>
      <c r="D27" s="482">
        <f t="shared" si="4"/>
        <v>0</v>
      </c>
      <c r="E27" s="478"/>
      <c r="F27" s="478"/>
      <c r="G27" s="478">
        <f t="shared" si="7"/>
        <v>617.85953544674578</v>
      </c>
      <c r="H27" s="478"/>
      <c r="I27" s="478"/>
      <c r="J27" s="478"/>
      <c r="K27" s="478"/>
      <c r="L27" s="478"/>
      <c r="M27" s="478">
        <f t="shared" si="13"/>
        <v>0</v>
      </c>
      <c r="N27" s="478"/>
      <c r="O27" s="478"/>
      <c r="P27" s="479"/>
      <c r="Q27" s="477">
        <f t="shared" ca="1" si="17"/>
        <v>617.85953544674578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21566.061750513043</v>
      </c>
      <c r="C31" s="488">
        <f t="shared" ca="1" si="18"/>
        <v>8821.1193277310958</v>
      </c>
      <c r="D31" s="488">
        <f t="shared" ca="1" si="18"/>
        <v>22555.056085351102</v>
      </c>
      <c r="E31" s="488">
        <f t="shared" si="18"/>
        <v>857.44423919503538</v>
      </c>
      <c r="F31" s="488">
        <f t="shared" ca="1" si="18"/>
        <v>4112.2776307237536</v>
      </c>
      <c r="G31" s="488">
        <f t="shared" si="18"/>
        <v>58630.172871810377</v>
      </c>
      <c r="H31" s="488">
        <f t="shared" si="18"/>
        <v>7522.8834182820665</v>
      </c>
      <c r="I31" s="488">
        <f t="shared" si="18"/>
        <v>0</v>
      </c>
      <c r="J31" s="488">
        <f t="shared" si="18"/>
        <v>115.46753911068264</v>
      </c>
      <c r="K31" s="488">
        <f t="shared" si="18"/>
        <v>0</v>
      </c>
      <c r="L31" s="488">
        <f t="shared" ca="1" si="18"/>
        <v>0</v>
      </c>
      <c r="M31" s="488">
        <f t="shared" si="18"/>
        <v>0</v>
      </c>
      <c r="N31" s="488">
        <f t="shared" ca="1" si="18"/>
        <v>0</v>
      </c>
      <c r="O31" s="488">
        <f t="shared" si="18"/>
        <v>0</v>
      </c>
      <c r="P31" s="489">
        <f t="shared" si="18"/>
        <v>0</v>
      </c>
      <c r="Q31" s="489">
        <f t="shared" ca="1" si="18"/>
        <v>124180.48286271714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0.2135319037913348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0.2135319037913348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0.2135319037913348</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2019-01-01T21:23:55Z</dcterms:modified>
</cp:coreProperties>
</file>