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L16"/>
  <c r="L18" s="1"/>
  <c r="N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41" i="14" l="1"/>
  <c r="Q53" s="1"/>
  <c r="P13"/>
  <c r="G14" i="22"/>
  <c r="I7" i="18"/>
  <c r="I9" s="1"/>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G58" i="22"/>
  <c r="H44" i="14" s="1"/>
  <c r="G10" i="48"/>
  <c r="G9"/>
  <c r="R17" i="14"/>
  <c r="Q13" i="48"/>
  <c r="I19" i="14"/>
  <c r="I20" s="1"/>
  <c r="I23" s="1"/>
  <c r="M18" i="22"/>
  <c r="N45" i="14" s="1"/>
  <c r="M9" i="48"/>
  <c r="N19" i="14"/>
  <c r="P14" i="48"/>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J20" i="15"/>
  <c r="K36" i="14" s="1"/>
  <c r="J67"/>
  <c r="E20" i="15"/>
  <c r="F36" i="14" s="1"/>
  <c r="L31" i="48"/>
  <c r="N20" i="14"/>
  <c r="N23" s="1"/>
  <c r="E5" i="48"/>
  <c r="E22" s="1"/>
  <c r="J9" i="18"/>
  <c r="M7"/>
  <c r="M9" s="1"/>
  <c r="M16"/>
  <c r="M19" s="1"/>
  <c r="J18" i="16"/>
  <c r="J22" s="1"/>
  <c r="K39" i="14"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E22" i="16" l="1"/>
  <c r="F39" i="14" s="1"/>
  <c r="F41" s="1"/>
  <c r="F53" s="1"/>
  <c r="F55" s="1"/>
  <c r="K41"/>
  <c r="K53" s="1"/>
  <c r="J8" i="48"/>
  <c r="J25" s="1"/>
  <c r="O13" i="14"/>
  <c r="O15" s="1"/>
  <c r="N55"/>
  <c r="Q5" i="48"/>
  <c r="N25"/>
  <c r="N31" s="1"/>
  <c r="N14"/>
  <c r="E25"/>
  <c r="E31" s="1"/>
  <c r="E14"/>
  <c r="K13" i="14"/>
  <c r="K15" s="1"/>
  <c r="K23" s="1"/>
  <c r="H55"/>
  <c r="E55"/>
  <c r="C78"/>
  <c r="C81" s="1"/>
  <c r="J31" i="48"/>
  <c r="Q8"/>
  <c r="R19" i="14"/>
  <c r="R20" s="1"/>
  <c r="H14" i="48"/>
  <c r="G31"/>
  <c r="H26"/>
  <c r="H31" s="1"/>
  <c r="O53" i="14"/>
  <c r="G53"/>
  <c r="G55" s="1"/>
  <c r="O69" s="1"/>
  <c r="B9" i="6" s="1"/>
  <c r="B12" s="1"/>
  <c r="M53" i="14"/>
  <c r="M55" s="1"/>
  <c r="C12" i="13"/>
  <c r="D37" i="14" s="1"/>
  <c r="D41" s="1"/>
  <c r="C24" i="48"/>
  <c r="C28"/>
  <c r="C22"/>
  <c r="C25"/>
  <c r="C21"/>
  <c r="K55" i="14"/>
  <c r="R13"/>
  <c r="R15" s="1"/>
  <c r="F25" i="48"/>
  <c r="F31" s="1"/>
  <c r="F14"/>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<sst xmlns="http://schemas.openxmlformats.org/spreadsheetml/2006/main" count="2111" uniqueCount="855">
  <si>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</si>
  <si>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</si>
  <si>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</si>
  <si>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</si>
  <si>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</si>
  <si>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</si>
  <si>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</si>
  <si>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</si>
  <si>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</si>
  <si>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</si>
  <si>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</si>
  <si>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</si>
  <si>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</si>
  <si>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</si>
  <si>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</si>
  <si>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</si>
  <si>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</si>
  <si>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</si>
  <si>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</si>
  <si>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</si>
  <si>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</si>
  <si>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</si>
  <si>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</si>
  <si>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</si>
  <si>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</si>
  <si>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</si>
  <si>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</si>
  <si>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</si>
  <si>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</si>
  <si>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</si>
  <si>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</si>
  <si>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</si>
  <si>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</si>
  <si>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</si>
  <si>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</si>
  <si>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</si>
  <si>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</si>
  <si>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</si>
  <si>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</si>
  <si>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</si>
  <si>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</si>
  <si>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</si>
  <si>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</si>
  <si>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</si>
  <si>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</si>
  <si>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</si>
  <si>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</si>
  <si>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</si>
  <si>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</si>
  <si>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</si>
  <si>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</si>
  <si>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</si>
  <si>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</si>
  <si>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</si>
  <si>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</si>
  <si>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</si>
  <si>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</si>
  <si>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</si>
  <si>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</si>
  <si>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</si>
  <si>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</si>
  <si>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</si>
  <si>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</si>
  <si>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</si>
  <si>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</si>
  <si>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</si>
  <si>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</si>
  <si>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</si>
  <si>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</si>
  <si>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</si>
  <si>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</si>
  <si>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</si>
  <si>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</si>
  <si>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</si>
  <si>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</si>
  <si>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</si>
  <si>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</si>
  <si>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</si>
  <si>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</si>
  <si>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</si>
  <si>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</si>
  <si>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</si>
  <si>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</si>
  <si>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</si>
  <si>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</si>
  <si>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</si>
  <si>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</si>
  <si>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</si>
  <si>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</si>
  <si>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</si>
  <si>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</si>
  <si>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</si>
  <si>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</si>
  <si>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</si>
  <si>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</si>
  <si>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</si>
  <si>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</si>
  <si>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</si>
  <si>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</si>
  <si>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</si>
  <si>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</si>
  <si>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</si>
  <si>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</si>
  <si>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</si>
  <si>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</si>
  <si>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</si>
  <si>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</si>
  <si>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</si>
  <si>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</si>
  <si>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</si>
  <si>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</si>
  <si>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</si>
  <si>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</si>
  <si>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</si>
  <si>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</si>
  <si>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</si>
  <si>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</si>
  <si>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</si>
  <si>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</si>
  <si>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</si>
  <si>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</si>
  <si>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</si>
  <si>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</si>
  <si>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</si>
  <si>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</si>
  <si>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</si>
  <si>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</si>
  <si>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</si>
  <si>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</si>
  <si>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</si>
  <si>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</si>
  <si>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</si>
  <si>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</si>
  <si>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</si>
  <si>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</si>
  <si>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</si>
  <si>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</si>
  <si>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</si>
  <si>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</si>
  <si>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</si>
  <si>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</si>
  <si>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</si>
  <si>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</si>
  <si>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</si>
  <si>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</si>
  <si>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</si>
  <si>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</si>
  <si>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</si>
  <si>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</si>
  <si>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</si>
  <si>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</si>
  <si>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</si>
  <si>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</si>
  <si>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</si>
  <si>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</si>
  <si>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</si>
  <si>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</si>
  <si>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</si>
  <si>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</si>
  <si>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</si>
  <si>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</si>
  <si>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</si>
  <si>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</si>
  <si>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</si>
  <si>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</si>
  <si>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</si>
  <si>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</si>
  <si>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</si>
  <si>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</si>
  <si>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</si>
  <si>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</si>
  <si>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</si>
  <si>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</si>
  <si>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</si>
  <si>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</si>
  <si>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</si>
  <si>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</si>
  <si>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</si>
  <si>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</si>
  <si>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</si>
  <si>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</si>
  <si>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</si>
  <si>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</si>
  <si>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</si>
  <si>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</si>
  <si>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</si>
  <si>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</si>
  <si>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</si>
  <si>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</si>
  <si>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</si>
  <si>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</si>
  <si>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</si>
  <si>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</si>
  <si>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</si>
  <si>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</si>
  <si>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</si>
  <si>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</si>
  <si>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</si>
  <si>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</si>
  <si>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</si>
  <si>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</si>
  <si>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</si>
  <si>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</si>
  <si>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</si>
  <si>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</si>
  <si>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</si>
  <si>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</si>
  <si>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</si>
  <si>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</si>
  <si>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</si>
  <si>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</si>
  <si>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</si>
  <si>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</si>
  <si>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</si>
  <si>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</si>
  <si>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</si>
  <si>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</si>
  <si>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</si>
  <si>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</si>
  <si>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</si>
  <si>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</si>
  <si>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</si>
  <si>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</si>
  <si>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</si>
  <si>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</si>
  <si>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</si>
  <si>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</si>
  <si>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</si>
  <si>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</si>
  <si>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</si>
  <si>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</si>
  <si>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</si>
  <si>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</si>
  <si>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</si>
  <si>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</si>
  <si>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</si>
  <si>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</si>
  <si>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</si>
  <si>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</si>
  <si>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</si>
  <si>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</si>
  <si>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</si>
  <si>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</si>
  <si>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</si>
  <si>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</si>
  <si>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</si>
  <si>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</si>
  <si>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</si>
  <si>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</si>
  <si>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</si>
  <si>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</si>
  <si>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</si>
  <si>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</si>
  <si>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</si>
  <si>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</si>
  <si>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</si>
  <si>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</si>
  <si>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</si>
  <si>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</si>
  <si>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</si>
  <si>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</si>
  <si>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</si>
  <si>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</si>
  <si>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</si>
  <si>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</si>
  <si>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</si>
  <si>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</si>
  <si>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</si>
  <si>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</si>
  <si>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</si>
  <si>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</si>
  <si>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</si>
  <si>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</si>
  <si>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</si>
  <si>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</si>
  <si>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</si>
  <si>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</si>
  <si>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</si>
  <si>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</si>
  <si>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</si>
  <si>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</si>
  <si>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</si>
  <si>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</si>
  <si>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</si>
  <si>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</si>
  <si>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</si>
  <si>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</si>
  <si>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</si>
  <si>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</si>
  <si>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</si>
  <si>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</si>
  <si>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</si>
  <si>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</si>
  <si>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</si>
  <si>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</si>
  <si>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</si>
  <si>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</si>
  <si>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</si>
  <si>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</si>
  <si>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</si>
  <si>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</si>
  <si>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</si>
  <si>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</si>
  <si>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</si>
  <si>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</si>
  <si>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</si>
  <si>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</si>
  <si>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</si>
  <si>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</si>
  <si>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</si>
  <si>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</si>
  <si>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</si>
  <si>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</si>
  <si>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</si>
  <si>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</si>
  <si>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</si>
  <si>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</si>
  <si>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</si>
  <si>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</si>
  <si>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</si>
  <si>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</si>
  <si>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</si>
  <si>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</si>
  <si>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</si>
  <si>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</si>
  <si>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</si>
  <si>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</si>
  <si>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</si>
  <si>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</si>
  <si>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</si>
  <si>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</si>
  <si>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</si>
  <si>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</si>
  <si>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</si>
  <si>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</si>
  <si>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</si>
  <si>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</si>
  <si>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</si>
  <si>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</si>
  <si>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</si>
  <si>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</si>
  <si>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</si>
  <si>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</si>
  <si>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</si>
  <si>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</si>
  <si>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</si>
  <si>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</si>
  <si>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</si>
  <si>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</si>
  <si>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</si>
  <si>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</si>
  <si>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</si>
  <si>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</si>
  <si>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</si>
  <si>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</si>
  <si>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</si>
  <si>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</si>
  <si>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</si>
  <si>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</si>
  <si>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</si>
  <si>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</si>
  <si>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</si>
  <si>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</si>
  <si>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</si>
  <si>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</si>
  <si>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</si>
  <si>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</si>
  <si>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</si>
  <si>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</si>
  <si>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</si>
  <si>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</si>
  <si>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</si>
  <si>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</si>
  <si>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</si>
  <si>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</si>
  <si>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</si>
  <si>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</si>
  <si>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</si>
  <si>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</si>
  <si>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</si>
  <si>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</si>
  <si>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</si>
  <si>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</si>
  <si>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</si>
  <si>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</si>
  <si>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</si>
  <si>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</si>
  <si>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</si>
  <si>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</si>
  <si>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</si>
  <si>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</si>
  <si>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</si>
  <si>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</si>
  <si>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</si>
  <si>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</si>
  <si>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</si>
  <si>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</si>
  <si>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</si>
  <si>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</si>
  <si>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</si>
  <si>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</si>
  <si>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</si>
  <si>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</si>
  <si>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</si>
  <si>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</si>
  <si>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</si>
  <si>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</si>
  <si>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</si>
  <si>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</si>
  <si>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</si>
  <si>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</si>
  <si>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</si>
  <si>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</si>
  <si>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</si>
  <si>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</si>
  <si>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</si>
  <si>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</si>
  <si>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</si>
  <si>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</si>
  <si>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</si>
  <si>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</si>
  <si>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</si>
  <si>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</si>
  <si>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</si>
  <si>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</si>
  <si>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</si>
  <si>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</si>
  <si>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</si>
  <si>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</si>
  <si>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</si>
  <si>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</si>
  <si>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</si>
  <si>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</si>
  <si>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</si>
  <si>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</si>
  <si>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</si>
  <si>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</si>
  <si>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</si>
  <si>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</si>
  <si>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</si>
  <si>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</si>
  <si>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</si>
  <si>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</si>
  <si>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</si>
  <si>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</si>
  <si>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</si>
  <si>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</si>
  <si>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</si>
  <si>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</si>
  <si>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</si>
  <si>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</si>
  <si>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</si>
  <si>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</si>
  <si>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</si>
  <si>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</si>
  <si>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</si>
  <si>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</si>
  <si>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</si>
  <si>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</si>
  <si>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</si>
  <si>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</si>
  <si>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</si>
  <si>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</si>
  <si>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</si>
  <si>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</si>
  <si>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</si>
  <si>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</si>
  <si>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</si>
  <si>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</si>
  <si>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</si>
  <si>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</si>
  <si>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</si>
  <si>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</si>
  <si>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</si>
  <si>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</si>
  <si>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</si>
  <si>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</si>
  <si>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</si>
  <si>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</si>
  <si>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</si>
  <si>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</si>
  <si>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</si>
  <si>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</si>
  <si>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</si>
  <si>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</si>
  <si>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</si>
  <si>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</si>
  <si>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</si>
  <si>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</si>
  <si>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</si>
  <si>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</si>
  <si>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</si>
  <si>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</si>
  <si>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</si>
  <si>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</si>
  <si>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</si>
  <si>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</si>
  <si>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</si>
  <si>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</si>
  <si>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</si>
  <si>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</si>
  <si>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</si>
  <si>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</si>
  <si>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</si>
  <si>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</si>
  <si>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</si>
  <si>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</si>
  <si>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</si>
  <si>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</si>
  <si>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</si>
  <si>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</si>
  <si>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</si>
  <si>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</si>
  <si>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</si>
  <si>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</si>
  <si>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</si>
  <si>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</si>
  <si>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</si>
  <si>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</si>
  <si>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</si>
  <si>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</si>
  <si>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</si>
  <si>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</si>
  <si>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</si>
  <si>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</si>
  <si>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</si>
  <si>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</si>
  <si>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</si>
  <si>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</si>
  <si>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</si>
  <si>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</si>
  <si>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</si>
  <si>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</si>
  <si>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</si>
  <si>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</si>
  <si>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</si>
  <si>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</si>
  <si>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</si>
  <si>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</si>
  <si>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</si>
  <si>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</si>
  <si>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</si>
  <si>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</si>
  <si>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</si>
  <si>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</si>
  <si>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</si>
  <si>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</si>
  <si>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</si>
  <si>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</si>
  <si>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</si>
  <si>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</si>
  <si>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</si>
  <si>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</si>
  <si>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</si>
  <si>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</si>
  <si>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</si>
  <si>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</si>
  <si>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</si>
  <si>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</si>
  <si>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</si>
  <si>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</si>
  <si>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</si>
  <si>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</si>
  <si>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</si>
  <si>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</si>
  <si>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</si>
  <si>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</si>
  <si>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</si>
  <si>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</si>
  <si>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</si>
  <si>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</si>
  <si>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</si>
  <si>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</si>
  <si>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</si>
  <si>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</si>
  <si>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</si>
  <si>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</si>
  <si>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</si>
  <si>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</si>
  <si>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</si>
  <si>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</si>
  <si>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</si>
  <si>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</si>
  <si>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</si>
  <si>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</si>
  <si>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</si>
  <si>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</si>
  <si>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</si>
  <si>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</si>
  <si>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</si>
  <si>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</si>
  <si>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</si>
  <si>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</si>
  <si>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</si>
  <si>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</si>
  <si>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</si>
  <si>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</si>
  <si>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</si>
  <si>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</si>
  <si>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</si>
  <si>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</si>
  <si>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</si>
  <si>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</si>
  <si>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</si>
  <si>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</si>
  <si>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</si>
  <si>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</si>
  <si>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</si>
  <si>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</si>
  <si>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</si>
  <si>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</si>
  <si>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</si>
  <si>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</si>
  <si>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</si>
  <si>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</si>
  <si>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</si>
  <si>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</si>
  <si>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</si>
  <si>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</si>
  <si>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</si>
  <si>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</si>
  <si>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</si>
  <si>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</si>
  <si>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</si>
  <si>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</si>
  <si>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</si>
  <si>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</si>
  <si>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</si>
  <si>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</si>
  <si>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</si>
  <si>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</si>
  <si>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</si>
  <si>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</si>
  <si>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</si>
  <si>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</si>
  <si>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</si>
  <si>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</si>
  <si>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</si>
  <si>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</si>
  <si>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</si>
  <si>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</si>
  <si>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</si>
  <si>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</si>
  <si>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</si>
  <si>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</si>
  <si>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</si>
  <si>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</si>
  <si>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</si>
  <si>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</si>
  <si>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</si>
  <si>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</si>
  <si>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</si>
  <si>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</si>
  <si>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</si>
  <si>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</si>
  <si>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</si>
  <si>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</si>
  <si>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</si>
  <si>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</si>
  <si>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</si>
  <si>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</si>
  <si>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</si>
  <si>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</si>
  <si>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</si>
  <si>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</si>
  <si>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</si>
  <si>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</si>
  <si>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</si>
  <si>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</si>
  <si>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</si>
  <si>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</si>
  <si>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</si>
  <si>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</si>
  <si>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</si>
  <si>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</si>
  <si>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</si>
  <si>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</si>
  <si>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</si>
  <si>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</si>
  <si>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</si>
  <si>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</si>
  <si>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</si>
  <si>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</si>
  <si>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</si>
  <si>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</si>
  <si>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</si>
  <si>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</si>
  <si>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</si>
  <si>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</si>
  <si>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</si>
  <si>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</si>
  <si>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</si>
  <si>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</si>
  <si>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</si>
  <si>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</si>
  <si>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</si>
  <si>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</si>
  <si>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</si>
  <si>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</si>
  <si>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</si>
  <si>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</si>
  <si>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</si>
  <si>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</si>
  <si>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</si>
  <si>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</si>
  <si>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</si>
  <si>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</si>
  <si>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</si>
  <si>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</si>
  <si>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</si>
  <si>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</si>
  <si>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</si>
  <si>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</si>
  <si>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</si>
  <si>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</si>
  <si>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</si>
  <si>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</si>
  <si>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</si>
  <si>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</si>
  <si>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</si>
  <si>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</si>
  <si>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</si>
  <si>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</si>
  <si>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</si>
  <si>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</si>
  <si>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</si>
  <si>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</si>
  <si>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</si>
  <si>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</si>
  <si>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</si>
  <si>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</si>
  <si>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</si>
  <si>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</si>
  <si>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</si>
  <si>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</si>
  <si>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</si>
  <si>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</si>
  <si>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</si>
  <si>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</si>
  <si>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</si>
  <si>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</si>
  <si>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</si>
  <si>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</si>
  <si>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</si>
  <si>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</si>
  <si>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</si>
  <si>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</si>
  <si>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</si>
  <si>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</si>
  <si>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</si>
  <si>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</si>
  <si>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</si>
  <si>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</si>
  <si>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</si>
  <si>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</si>
  <si>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</si>
  <si>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</si>
  <si>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</si>
  <si>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</si>
  <si>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</si>
  <si>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</si>
  <si>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</si>
  <si>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</si>
  <si>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</si>
  <si>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</si>
  <si>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</si>
  <si>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</si>
  <si>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</si>
  <si>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</si>
  <si>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</si>
  <si>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</si>
  <si>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</si>
  <si>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</si>
  <si>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</si>
  <si>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</si>
  <si>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</si>
  <si>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</si>
  <si>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</si>
  <si>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</si>
  <si>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</si>
  <si>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</si>
  <si>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</si>
  <si>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</si>
  <si>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</si>
  <si>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</si>
  <si>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</si>
  <si>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</si>
  <si>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</si>
  <si>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</si>
  <si>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</si>
  <si>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</si>
  <si>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</si>
  <si>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</si>
  <si>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</si>
  <si>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</si>
  <si>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</si>
  <si>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</si>
  <si>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</si>
  <si>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</si>
  <si>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</si>
  <si>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</si>
  <si>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</si>
  <si>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</si>
  <si>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</si>
  <si>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</si>
  <si>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</si>
  <si>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</si>
  <si>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</si>
  <si>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</si>
  <si>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</si>
  <si>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</si>
  <si>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</si>
  <si>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</si>
  <si>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</si>
  <si>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</si>
  <si>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</si>
  <si>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</si>
  <si>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</si>
  <si>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</si>
  <si>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</si>
  <si>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</si>
  <si>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</si>
  <si>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</si>
  <si>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</si>
  <si>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</si>
  <si>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</si>
  <si>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</si>
  <si>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</si>
  <si>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</si>
  <si>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</si>
  <si>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</si>
  <si>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</si>
  <si>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</si>
  <si>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</si>
  <si>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</si>
  <si>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</si>
  <si>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</si>
  <si>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</si>
  <si>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</si>
  <si>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</si>
  <si>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</si>
  <si>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</si>
  <si>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</si>
  <si>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</si>
  <si>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</si>
  <si>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</si>
  <si>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</si>
  <si>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11001</t>
  </si>
  <si>
    <t>AARTSELAAR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</si>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</sst>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101346.97855664536</c:v>
                </c:pt>
                <c:pt idx="1">
                  <c:v>84219.098270511851</c:v>
                </c:pt>
                <c:pt idx="2">
                  <c:v>939.11199999999997</c:v>
                </c:pt>
                <c:pt idx="3">
                  <c:v>6747.2517156877084</c:v>
                </c:pt>
                <c:pt idx="4">
                  <c:v>47746.326867762131</c:v>
                </c:pt>
                <c:pt idx="5">
                  <c:v>265978.793214834</c:v>
                </c:pt>
                <c:pt idx="6">
                  <c:v>1617.018967602598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5244672"/>
        <c:axId val="185258752"/>
      </c:barChart>
      <c:catAx>
        <c:axId val="185244672"/>
        <c:scaling>
          <c:orientation val="minMax"/>
        </c:scaling>
        <c:axPos val="b"/>
        <c:numFmt formatCode="General" sourceLinked="0"/>
        <c:tickLblPos val="nextTo"/>
        <c:crossAx val="185258752"/>
        <c:crosses val="autoZero"/>
        <c:auto val="1"/>
        <c:lblAlgn val="ctr"/>
        <c:lblOffset val="100"/>
      </c:catAx>
      <c:valAx>
        <c:axId val="185258752"/>
        <c:scaling>
          <c:orientation val="minMax"/>
        </c:scaling>
        <c:axPos val="l"/>
        <c:majorGridlines/>
        <c:numFmt formatCode="#,##0" sourceLinked="1"/>
        <c:tickLblPos val="nextTo"/>
        <c:crossAx val="1852446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101346.97855664536</c:v>
                </c:pt>
                <c:pt idx="1">
                  <c:v>84219.098270511851</c:v>
                </c:pt>
                <c:pt idx="2">
                  <c:v>939.11199999999997</c:v>
                </c:pt>
                <c:pt idx="3">
                  <c:v>6747.2517156877084</c:v>
                </c:pt>
                <c:pt idx="4">
                  <c:v>47746.326867762131</c:v>
                </c:pt>
                <c:pt idx="5">
                  <c:v>265978.793214834</c:v>
                </c:pt>
                <c:pt idx="6">
                  <c:v>1617.018967602598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20151.225712636846</c:v>
                </c:pt>
                <c:pt idx="1">
                  <c:v>17419.138137894875</c:v>
                </c:pt>
                <c:pt idx="2">
                  <c:v>198.18882938831788</c:v>
                </c:pt>
                <c:pt idx="3">
                  <c:v>1515.6482926512194</c:v>
                </c:pt>
                <c:pt idx="4">
                  <c:v>9275.9190837922106</c:v>
                </c:pt>
                <c:pt idx="5">
                  <c:v>68295.773412406474</c:v>
                </c:pt>
                <c:pt idx="6">
                  <c:v>418.75521442994193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5849728"/>
        <c:axId val="185851264"/>
      </c:barChart>
      <c:catAx>
        <c:axId val="185849728"/>
        <c:scaling>
          <c:orientation val="minMax"/>
        </c:scaling>
        <c:axPos val="b"/>
        <c:numFmt formatCode="General" sourceLinked="0"/>
        <c:tickLblPos val="nextTo"/>
        <c:crossAx val="185851264"/>
        <c:crosses val="autoZero"/>
        <c:auto val="1"/>
        <c:lblAlgn val="ctr"/>
        <c:lblOffset val="100"/>
      </c:catAx>
      <c:valAx>
        <c:axId val="185851264"/>
        <c:scaling>
          <c:orientation val="minMax"/>
        </c:scaling>
        <c:axPos val="l"/>
        <c:majorGridlines/>
        <c:numFmt formatCode="#,##0" sourceLinked="1"/>
        <c:tickLblPos val="nextTo"/>
        <c:crossAx val="1858497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20151.225712636846</c:v>
                </c:pt>
                <c:pt idx="1">
                  <c:v>17419.138137894875</c:v>
                </c:pt>
                <c:pt idx="2">
                  <c:v>198.18882938831788</c:v>
                </c:pt>
                <c:pt idx="3">
                  <c:v>1515.6482926512194</c:v>
                </c:pt>
                <c:pt idx="4">
                  <c:v>9275.9190837922106</c:v>
                </c:pt>
                <c:pt idx="5">
                  <c:v>68295.773412406474</c:v>
                </c:pt>
                <c:pt idx="6">
                  <c:v>418.75521442994193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11001</v>
      </c>
      <c r="B6" s="415"/>
      <c r="C6" s="416"/>
    </row>
    <row r="7" spans="1:7" s="413" customFormat="1" ht="15.75" customHeight="1">
      <c r="A7" s="417" t="str">
        <f>txtMunicipality</f>
        <v>AARTSELAAR</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11001</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5897</v>
      </c>
      <c r="C9" s="342">
        <v>6118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301.31</v>
      </c>
    </row>
    <row r="15" spans="1:6">
      <c r="A15" s="348" t="s">
        <v>184</v>
      </c>
      <c r="B15" s="334">
        <v>2</v>
      </c>
    </row>
    <row r="16" spans="1:6">
      <c r="A16" s="348" t="s">
        <v>6</v>
      </c>
      <c r="B16" s="334">
        <v>140</v>
      </c>
    </row>
    <row r="17" spans="1:6">
      <c r="A17" s="348" t="s">
        <v>7</v>
      </c>
      <c r="B17" s="334">
        <v>22</v>
      </c>
    </row>
    <row r="18" spans="1:6">
      <c r="A18" s="348" t="s">
        <v>8</v>
      </c>
      <c r="B18" s="334">
        <v>105</v>
      </c>
    </row>
    <row r="19" spans="1:6">
      <c r="A19" s="348" t="s">
        <v>9</v>
      </c>
      <c r="B19" s="334">
        <v>150</v>
      </c>
    </row>
    <row r="20" spans="1:6">
      <c r="A20" s="348" t="s">
        <v>10</v>
      </c>
      <c r="B20" s="334">
        <v>61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48</v>
      </c>
    </row>
    <row r="27" spans="1:6">
      <c r="A27" s="348" t="s">
        <v>17</v>
      </c>
      <c r="B27" s="334">
        <v>15</v>
      </c>
    </row>
    <row r="28" spans="1:6" s="356" customFormat="1">
      <c r="A28" s="355" t="s">
        <v>18</v>
      </c>
      <c r="B28" s="355">
        <v>0</v>
      </c>
    </row>
    <row r="29" spans="1:6">
      <c r="A29" s="355" t="s">
        <v>849</v>
      </c>
      <c r="B29" s="355">
        <v>18</v>
      </c>
      <c r="C29" s="356"/>
      <c r="D29" s="356"/>
      <c r="E29" s="356"/>
      <c r="F29" s="356"/>
    </row>
    <row r="30" spans="1:6">
      <c r="A30" s="355" t="s">
        <v>850</v>
      </c>
      <c r="B30" s="341">
        <v>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1182</v>
      </c>
    </row>
    <row r="39" spans="1:6">
      <c r="A39" s="348" t="s">
        <v>30</v>
      </c>
      <c r="B39" s="348" t="s">
        <v>31</v>
      </c>
      <c r="C39" s="334">
        <v>4820</v>
      </c>
      <c r="D39" s="334">
        <v>77520400</v>
      </c>
      <c r="E39" s="334">
        <v>5891</v>
      </c>
      <c r="F39" s="334">
        <v>22856961.578000002</v>
      </c>
    </row>
    <row r="40" spans="1:6">
      <c r="A40" s="348" t="s">
        <v>30</v>
      </c>
      <c r="B40" s="348" t="s">
        <v>29</v>
      </c>
      <c r="C40" s="334">
        <v>0</v>
      </c>
      <c r="D40" s="334">
        <v>0</v>
      </c>
      <c r="E40" s="334">
        <v>0</v>
      </c>
      <c r="F40" s="334">
        <v>0</v>
      </c>
    </row>
    <row r="41" spans="1:6">
      <c r="A41" s="348" t="s">
        <v>32</v>
      </c>
      <c r="B41" s="348" t="s">
        <v>33</v>
      </c>
      <c r="C41" s="334">
        <v>55</v>
      </c>
      <c r="D41" s="334">
        <v>2534390</v>
      </c>
      <c r="E41" s="334">
        <v>88</v>
      </c>
      <c r="F41" s="334">
        <v>1422930.3661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21</v>
      </c>
      <c r="D44" s="334">
        <v>10008039</v>
      </c>
      <c r="E44" s="334">
        <v>13</v>
      </c>
      <c r="F44" s="334">
        <v>1334766.5327999999</v>
      </c>
    </row>
    <row r="45" spans="1:6">
      <c r="A45" s="348" t="s">
        <v>32</v>
      </c>
      <c r="B45" s="348" t="s">
        <v>37</v>
      </c>
      <c r="C45" s="334">
        <v>3</v>
      </c>
      <c r="D45" s="334">
        <v>345850</v>
      </c>
      <c r="E45" s="334">
        <v>0</v>
      </c>
      <c r="F45" s="334">
        <v>0</v>
      </c>
    </row>
    <row r="46" spans="1:6">
      <c r="A46" s="348" t="s">
        <v>32</v>
      </c>
      <c r="B46" s="348" t="s">
        <v>38</v>
      </c>
      <c r="C46" s="334">
        <v>0</v>
      </c>
      <c r="D46" s="334">
        <v>0</v>
      </c>
      <c r="E46" s="334">
        <v>0</v>
      </c>
      <c r="F46" s="334">
        <v>0</v>
      </c>
    </row>
    <row r="47" spans="1:6">
      <c r="A47" s="348" t="s">
        <v>32</v>
      </c>
      <c r="B47" s="348" t="s">
        <v>39</v>
      </c>
      <c r="C47" s="334">
        <v>6</v>
      </c>
      <c r="D47" s="334">
        <v>593193</v>
      </c>
      <c r="E47" s="334">
        <v>3</v>
      </c>
      <c r="F47" s="334">
        <v>487472.53181000001</v>
      </c>
    </row>
    <row r="48" spans="1:6">
      <c r="A48" s="348" t="s">
        <v>32</v>
      </c>
      <c r="B48" s="348" t="s">
        <v>29</v>
      </c>
      <c r="C48" s="334">
        <v>3</v>
      </c>
      <c r="D48" s="334">
        <v>102111</v>
      </c>
      <c r="E48" s="334">
        <v>42</v>
      </c>
      <c r="F48" s="334">
        <v>12760539.558</v>
      </c>
    </row>
    <row r="49" spans="1:6">
      <c r="A49" s="348" t="s">
        <v>32</v>
      </c>
      <c r="B49" s="348" t="s">
        <v>40</v>
      </c>
      <c r="C49" s="334">
        <v>0</v>
      </c>
      <c r="D49" s="334">
        <v>0</v>
      </c>
      <c r="E49" s="334">
        <v>0</v>
      </c>
      <c r="F49" s="334">
        <v>0</v>
      </c>
    </row>
    <row r="50" spans="1:6">
      <c r="A50" s="348" t="s">
        <v>32</v>
      </c>
      <c r="B50" s="348" t="s">
        <v>41</v>
      </c>
      <c r="C50" s="334">
        <v>10</v>
      </c>
      <c r="D50" s="334">
        <v>8648192</v>
      </c>
      <c r="E50" s="334">
        <v>6</v>
      </c>
      <c r="F50" s="334">
        <v>1152975.5004</v>
      </c>
    </row>
    <row r="51" spans="1:6">
      <c r="A51" s="348" t="s">
        <v>42</v>
      </c>
      <c r="B51" s="348" t="s">
        <v>43</v>
      </c>
      <c r="C51" s="334">
        <v>15</v>
      </c>
      <c r="D51" s="334">
        <v>4445489</v>
      </c>
      <c r="E51" s="334">
        <v>32</v>
      </c>
      <c r="F51" s="334">
        <v>567348.14171999996</v>
      </c>
    </row>
    <row r="52" spans="1:6">
      <c r="A52" s="348" t="s">
        <v>42</v>
      </c>
      <c r="B52" s="348" t="s">
        <v>29</v>
      </c>
      <c r="C52" s="334">
        <v>0</v>
      </c>
      <c r="D52" s="334">
        <v>0</v>
      </c>
      <c r="E52" s="334">
        <v>0</v>
      </c>
      <c r="F52" s="334">
        <v>0</v>
      </c>
    </row>
    <row r="53" spans="1:6">
      <c r="A53" s="348" t="s">
        <v>44</v>
      </c>
      <c r="B53" s="348" t="s">
        <v>45</v>
      </c>
      <c r="C53" s="334">
        <v>0</v>
      </c>
      <c r="D53" s="334">
        <v>0</v>
      </c>
      <c r="E53" s="334">
        <v>238</v>
      </c>
      <c r="F53" s="334">
        <v>718343.74251999997</v>
      </c>
    </row>
    <row r="54" spans="1:6">
      <c r="A54" s="348" t="s">
        <v>46</v>
      </c>
      <c r="B54" s="348" t="s">
        <v>47</v>
      </c>
      <c r="C54" s="334">
        <v>0</v>
      </c>
      <c r="D54" s="334">
        <v>0</v>
      </c>
      <c r="E54" s="334">
        <v>1</v>
      </c>
      <c r="F54" s="334">
        <v>939112</v>
      </c>
    </row>
    <row r="55" spans="1:6">
      <c r="A55" s="348" t="s">
        <v>46</v>
      </c>
      <c r="B55" s="348" t="s">
        <v>29</v>
      </c>
      <c r="C55" s="334">
        <v>0</v>
      </c>
      <c r="D55" s="334">
        <v>0</v>
      </c>
      <c r="E55" s="334">
        <v>0</v>
      </c>
      <c r="F55" s="334">
        <v>0</v>
      </c>
    </row>
    <row r="56" spans="1:6">
      <c r="A56" s="348" t="s">
        <v>48</v>
      </c>
      <c r="B56" s="348" t="s">
        <v>29</v>
      </c>
      <c r="C56" s="334">
        <v>92</v>
      </c>
      <c r="D56" s="334">
        <v>1677263</v>
      </c>
      <c r="E56" s="334">
        <v>0</v>
      </c>
      <c r="F56" s="334">
        <v>0</v>
      </c>
    </row>
    <row r="57" spans="1:6">
      <c r="A57" s="348" t="s">
        <v>49</v>
      </c>
      <c r="B57" s="348" t="s">
        <v>50</v>
      </c>
      <c r="C57" s="334">
        <v>50</v>
      </c>
      <c r="D57" s="334">
        <v>3162830</v>
      </c>
      <c r="E57" s="334">
        <v>70</v>
      </c>
      <c r="F57" s="334">
        <v>2519844.1190999998</v>
      </c>
    </row>
    <row r="58" spans="1:6">
      <c r="A58" s="348" t="s">
        <v>49</v>
      </c>
      <c r="B58" s="348" t="s">
        <v>51</v>
      </c>
      <c r="C58" s="334">
        <v>19</v>
      </c>
      <c r="D58" s="334">
        <v>2907031</v>
      </c>
      <c r="E58" s="334">
        <v>23</v>
      </c>
      <c r="F58" s="334">
        <v>252574.79271000001</v>
      </c>
    </row>
    <row r="59" spans="1:6">
      <c r="A59" s="348" t="s">
        <v>49</v>
      </c>
      <c r="B59" s="348" t="s">
        <v>52</v>
      </c>
      <c r="C59" s="334">
        <v>187</v>
      </c>
      <c r="D59" s="334">
        <v>19269771</v>
      </c>
      <c r="E59" s="334">
        <v>293</v>
      </c>
      <c r="F59" s="334">
        <v>12001901.028999999</v>
      </c>
    </row>
    <row r="60" spans="1:6">
      <c r="A60" s="348" t="s">
        <v>49</v>
      </c>
      <c r="B60" s="348" t="s">
        <v>53</v>
      </c>
      <c r="C60" s="334">
        <v>55</v>
      </c>
      <c r="D60" s="334">
        <v>6745941</v>
      </c>
      <c r="E60" s="334">
        <v>86</v>
      </c>
      <c r="F60" s="334">
        <v>3329347.3898999998</v>
      </c>
    </row>
    <row r="61" spans="1:6">
      <c r="A61" s="348" t="s">
        <v>49</v>
      </c>
      <c r="B61" s="348" t="s">
        <v>54</v>
      </c>
      <c r="C61" s="334">
        <v>222</v>
      </c>
      <c r="D61" s="334">
        <v>9878189</v>
      </c>
      <c r="E61" s="334">
        <v>382</v>
      </c>
      <c r="F61" s="334">
        <v>12844258.130000001</v>
      </c>
    </row>
    <row r="62" spans="1:6">
      <c r="A62" s="348" t="s">
        <v>49</v>
      </c>
      <c r="B62" s="348" t="s">
        <v>55</v>
      </c>
      <c r="C62" s="334">
        <v>5</v>
      </c>
      <c r="D62" s="334">
        <v>836059</v>
      </c>
      <c r="E62" s="334">
        <v>3</v>
      </c>
      <c r="F62" s="334">
        <v>27763.287371999999</v>
      </c>
    </row>
    <row r="63" spans="1:6">
      <c r="A63" s="348" t="s">
        <v>49</v>
      </c>
      <c r="B63" s="348" t="s">
        <v>29</v>
      </c>
      <c r="C63" s="334">
        <v>0</v>
      </c>
      <c r="D63" s="334">
        <v>0</v>
      </c>
      <c r="E63" s="334">
        <v>94</v>
      </c>
      <c r="F63" s="334">
        <v>3109541.9788000002</v>
      </c>
    </row>
    <row r="64" spans="1:6">
      <c r="A64" s="348" t="s">
        <v>56</v>
      </c>
      <c r="B64" s="348" t="s">
        <v>57</v>
      </c>
      <c r="C64" s="334">
        <v>0</v>
      </c>
      <c r="D64" s="334">
        <v>0</v>
      </c>
      <c r="E64" s="334">
        <v>0</v>
      </c>
      <c r="F64" s="334">
        <v>0</v>
      </c>
    </row>
    <row r="65" spans="1:6">
      <c r="A65" s="348" t="s">
        <v>56</v>
      </c>
      <c r="B65" s="348" t="s">
        <v>29</v>
      </c>
      <c r="C65" s="334">
        <v>0</v>
      </c>
      <c r="D65" s="334">
        <v>0</v>
      </c>
      <c r="E65" s="334">
        <v>2</v>
      </c>
      <c r="F65" s="334">
        <v>65277.522102000003</v>
      </c>
    </row>
    <row r="66" spans="1:6">
      <c r="A66" s="348" t="s">
        <v>56</v>
      </c>
      <c r="B66" s="348" t="s">
        <v>58</v>
      </c>
      <c r="C66" s="334">
        <v>0</v>
      </c>
      <c r="D66" s="334">
        <v>0</v>
      </c>
      <c r="E66" s="334">
        <v>8</v>
      </c>
      <c r="F66" s="334">
        <v>228738</v>
      </c>
    </row>
    <row r="67" spans="1:6">
      <c r="A67" s="355" t="s">
        <v>56</v>
      </c>
      <c r="B67" s="355" t="s">
        <v>59</v>
      </c>
      <c r="C67" s="334">
        <v>0</v>
      </c>
      <c r="D67" s="334">
        <v>0</v>
      </c>
      <c r="E67" s="334">
        <v>0</v>
      </c>
      <c r="F67" s="334">
        <v>0</v>
      </c>
    </row>
    <row r="68" spans="1:6">
      <c r="A68" s="341" t="s">
        <v>56</v>
      </c>
      <c r="B68" s="341" t="s">
        <v>60</v>
      </c>
      <c r="C68" s="334">
        <v>4</v>
      </c>
      <c r="D68" s="334">
        <v>323476</v>
      </c>
      <c r="E68" s="334">
        <v>10</v>
      </c>
      <c r="F68" s="334">
        <v>214843.25453000001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187344811</v>
      </c>
      <c r="E73" s="476">
        <v>194373012.100586</v>
      </c>
    </row>
    <row r="74" spans="1:6">
      <c r="A74" s="348" t="s">
        <v>64</v>
      </c>
      <c r="B74" s="348" t="s">
        <v>667</v>
      </c>
      <c r="C74" s="1271" t="s">
        <v>669</v>
      </c>
      <c r="D74" s="476">
        <v>40466040.375131853</v>
      </c>
      <c r="E74" s="476">
        <v>41609592.308095977</v>
      </c>
    </row>
    <row r="75" spans="1:6">
      <c r="A75" s="348" t="s">
        <v>65</v>
      </c>
      <c r="B75" s="348" t="s">
        <v>666</v>
      </c>
      <c r="C75" s="1271" t="s">
        <v>670</v>
      </c>
      <c r="D75" s="476">
        <v>22951561</v>
      </c>
      <c r="E75" s="476">
        <v>23766575.742450725</v>
      </c>
    </row>
    <row r="76" spans="1:6">
      <c r="A76" s="348" t="s">
        <v>65</v>
      </c>
      <c r="B76" s="348" t="s">
        <v>667</v>
      </c>
      <c r="C76" s="1271" t="s">
        <v>671</v>
      </c>
      <c r="D76" s="476">
        <v>4210790.3751318511</v>
      </c>
      <c r="E76" s="476">
        <v>4250077.5871389462</v>
      </c>
    </row>
    <row r="77" spans="1:6">
      <c r="A77" s="348" t="s">
        <v>66</v>
      </c>
      <c r="B77" s="348" t="s">
        <v>666</v>
      </c>
      <c r="C77" s="1271" t="s">
        <v>672</v>
      </c>
      <c r="D77" s="476">
        <v>10387909</v>
      </c>
      <c r="E77" s="476">
        <v>11291466.884932118</v>
      </c>
    </row>
    <row r="78" spans="1:6">
      <c r="A78" s="341" t="s">
        <v>66</v>
      </c>
      <c r="B78" s="341" t="s">
        <v>667</v>
      </c>
      <c r="C78" s="341" t="s">
        <v>673</v>
      </c>
      <c r="D78" s="1272">
        <v>1199002</v>
      </c>
      <c r="E78" s="1272">
        <v>1277449.452575332</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434309.24973629788</v>
      </c>
      <c r="C83" s="476">
        <v>434309.24973629788</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1944.7437300298457</v>
      </c>
    </row>
    <row r="92" spans="1:6">
      <c r="A92" s="341" t="s">
        <v>69</v>
      </c>
      <c r="B92" s="342">
        <v>1553.2054370881262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3801</v>
      </c>
    </row>
    <row r="98" spans="1:6">
      <c r="A98" s="348" t="s">
        <v>72</v>
      </c>
      <c r="B98" s="334">
        <v>4</v>
      </c>
    </row>
    <row r="99" spans="1:6">
      <c r="A99" s="348" t="s">
        <v>73</v>
      </c>
      <c r="B99" s="334">
        <v>11</v>
      </c>
    </row>
    <row r="100" spans="1:6">
      <c r="A100" s="348" t="s">
        <v>74</v>
      </c>
      <c r="B100" s="334">
        <v>478</v>
      </c>
    </row>
    <row r="101" spans="1:6">
      <c r="A101" s="348" t="s">
        <v>75</v>
      </c>
      <c r="B101" s="334">
        <v>26</v>
      </c>
    </row>
    <row r="102" spans="1:6">
      <c r="A102" s="348" t="s">
        <v>76</v>
      </c>
      <c r="B102" s="334">
        <v>64</v>
      </c>
    </row>
    <row r="103" spans="1:6">
      <c r="A103" s="348" t="s">
        <v>77</v>
      </c>
      <c r="B103" s="334">
        <v>37</v>
      </c>
    </row>
    <row r="104" spans="1:6">
      <c r="A104" s="348" t="s">
        <v>78</v>
      </c>
      <c r="B104" s="334">
        <v>1023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18</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56</v>
      </c>
    </row>
    <row r="130" spans="1:6">
      <c r="A130" s="348" t="s">
        <v>295</v>
      </c>
      <c r="B130" s="334">
        <v>0</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77603.794770291643</v>
      </c>
      <c r="C3" s="43" t="s">
        <v>170</v>
      </c>
      <c r="D3" s="43"/>
      <c r="E3" s="154"/>
      <c r="F3" s="43"/>
      <c r="G3" s="43"/>
      <c r="H3" s="43"/>
      <c r="I3" s="43"/>
      <c r="J3" s="43"/>
      <c r="K3" s="96"/>
    </row>
    <row r="4" spans="1:11">
      <c r="A4" s="383" t="s">
        <v>171</v>
      </c>
      <c r="B4" s="49">
        <f>IF(ISERROR('SEAP template'!B69),0,'SEAP template'!B69)</f>
        <v>3497.9491671179721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0.21103854427194829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939.11199999999997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939.11199999999997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0.21103854427194829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198.18882938831788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22856.961578000002</v>
      </c>
      <c r="C5" s="17">
        <f>IF(ISERROR('Eigen informatie GS &amp; warmtenet'!B57),0,'Eigen informatie GS &amp; warmtenet'!B57)</f>
        <v>0</v>
      </c>
      <c r="D5" s="30">
        <f>(SUM(HH_hh_gas_kWh,HH_rest_gas_kWh)/1000)*0.902</f>
        <v>69923.400800000003</v>
      </c>
      <c r="E5" s="17">
        <f>B46*B57</f>
        <v>459.47690071967565</v>
      </c>
      <c r="F5" s="17">
        <f>B51*B62</f>
        <v>2577.8341232397124</v>
      </c>
      <c r="G5" s="18"/>
      <c r="H5" s="17"/>
      <c r="I5" s="17"/>
      <c r="J5" s="17">
        <f>B50*B61+C50*C61</f>
        <v>0</v>
      </c>
      <c r="K5" s="17"/>
      <c r="L5" s="17"/>
      <c r="M5" s="17"/>
      <c r="N5" s="17">
        <f>B48*B59+C48*C59</f>
        <v>3084.4147579894611</v>
      </c>
      <c r="O5" s="17">
        <f>B69*B70*B71</f>
        <v>118.81333333333333</v>
      </c>
      <c r="P5" s="17">
        <f>B77*B78*B79/1000-B77*B78*B79/1000/B80</f>
        <v>381.33333333333337</v>
      </c>
    </row>
    <row r="6" spans="1:16">
      <c r="A6" s="16" t="s">
        <v>624</v>
      </c>
      <c r="B6" s="843">
        <f>kWh_PV_kleiner_dan_10kW</f>
        <v>1944.7437300298457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24801.705308029846</v>
      </c>
      <c r="C8" s="21">
        <f>C5</f>
        <v>0</v>
      </c>
      <c r="D8" s="21">
        <f>D5</f>
        <v>69923.400800000003</v>
      </c>
      <c r="E8" s="21">
        <f>E5</f>
        <v>459.47690071967565</v>
      </c>
      <c r="F8" s="21">
        <f>F5</f>
        <v>2577.8341232397124</v>
      </c>
      <c r="G8" s="21"/>
      <c r="H8" s="21"/>
      <c r="I8" s="21"/>
      <c r="J8" s="21">
        <f>J5</f>
        <v>0</v>
      </c>
      <c r="K8" s="21"/>
      <c r="L8" s="21">
        <f>L5</f>
        <v>0</v>
      </c>
      <c r="M8" s="21">
        <f>M5</f>
        <v>0</v>
      </c>
      <c r="N8" s="21">
        <f>N5</f>
        <v>3084.4147579894611</v>
      </c>
      <c r="O8" s="21">
        <f>O5</f>
        <v>118.81333333333333</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0.21103854427194829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5234.1157836684715</v>
      </c>
      <c r="C12" s="23">
        <f ca="1">C10*C8</f>
        <v>0</v>
      </c>
      <c r="D12" s="23">
        <f>D8*D10</f>
        <v>14124.526961600002</v>
      </c>
      <c r="E12" s="23">
        <f>E10*E8</f>
        <v>104.30125646336637</v>
      </c>
      <c r="F12" s="23">
        <f>F10*F8</f>
        <v>688.28171090500325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3801</v>
      </c>
      <c r="C18" s="166" t="s">
        <v>111</v>
      </c>
      <c r="D18" s="228"/>
      <c r="E18" s="15"/>
    </row>
    <row r="19" spans="1:7">
      <c r="A19" s="171" t="s">
        <v>72</v>
      </c>
      <c r="B19" s="37">
        <f>aantalw2001_ander</f>
        <v>4</v>
      </c>
      <c r="C19" s="166" t="s">
        <v>111</v>
      </c>
      <c r="D19" s="229"/>
      <c r="E19" s="15"/>
    </row>
    <row r="20" spans="1:7">
      <c r="A20" s="171" t="s">
        <v>73</v>
      </c>
      <c r="B20" s="37">
        <f>aantalw2001_propaan</f>
        <v>11</v>
      </c>
      <c r="C20" s="167">
        <f>IF(ISERROR(B20/SUM($B$20,$B$21,$B$22)*100),0,B20/SUM($B$20,$B$21,$B$22)*100)</f>
        <v>2.1359223300970873</v>
      </c>
      <c r="D20" s="229"/>
      <c r="E20" s="15"/>
    </row>
    <row r="21" spans="1:7">
      <c r="A21" s="171" t="s">
        <v>74</v>
      </c>
      <c r="B21" s="37">
        <f>aantalw2001_elektriciteit</f>
        <v>478</v>
      </c>
      <c r="C21" s="167">
        <f>IF(ISERROR(B21/SUM($B$20,$B$21,$B$22)*100),0,B21/SUM($B$20,$B$21,$B$22)*100)</f>
        <v>92.815533980582515</v>
      </c>
      <c r="D21" s="229"/>
      <c r="E21" s="15"/>
    </row>
    <row r="22" spans="1:7">
      <c r="A22" s="171" t="s">
        <v>75</v>
      </c>
      <c r="B22" s="37">
        <f>aantalw2001_hout</f>
        <v>26</v>
      </c>
      <c r="C22" s="167">
        <f>IF(ISERROR(B22/SUM($B$20,$B$21,$B$22)*100),0,B22/SUM($B$20,$B$21,$B$22)*100)</f>
        <v>5.0485436893203879</v>
      </c>
      <c r="D22" s="229"/>
      <c r="E22" s="15"/>
    </row>
    <row r="23" spans="1:7">
      <c r="A23" s="171" t="s">
        <v>76</v>
      </c>
      <c r="B23" s="37">
        <f>aantalw2001_niet_gespec</f>
        <v>64</v>
      </c>
      <c r="C23" s="166" t="s">
        <v>111</v>
      </c>
      <c r="D23" s="228"/>
      <c r="E23" s="15"/>
    </row>
    <row r="24" spans="1:7">
      <c r="A24" s="171" t="s">
        <v>77</v>
      </c>
      <c r="B24" s="37">
        <f>aantalw2001_steenkool</f>
        <v>37</v>
      </c>
      <c r="C24" s="166" t="s">
        <v>111</v>
      </c>
      <c r="D24" s="229"/>
      <c r="E24" s="15"/>
    </row>
    <row r="25" spans="1:7">
      <c r="A25" s="171" t="s">
        <v>78</v>
      </c>
      <c r="B25" s="37">
        <f>aantalw2001_stookolie</f>
        <v>1023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5897</v>
      </c>
      <c r="C28" s="36"/>
      <c r="D28" s="228"/>
    </row>
    <row r="29" spans="1:7" s="15" customFormat="1">
      <c r="A29" s="230" t="s">
        <v>699</v>
      </c>
      <c r="B29" s="37">
        <f>SUM(HH_hh_gas_aantal,HH_rest_gas_aantal)</f>
        <v>4820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4820</v>
      </c>
      <c r="C32" s="167">
        <f>IF(ISERROR(B32/SUM($B$32,$B$34,$B$35,$B$36,$B$38,$B$39)*100),0,B32/SUM($B$32,$B$34,$B$35,$B$36,$B$38,$B$39)*100)</f>
        <v>82.014633316317855</v>
      </c>
      <c r="D32" s="233"/>
      <c r="G32" s="15"/>
    </row>
    <row r="33" spans="1:7">
      <c r="A33" s="171" t="s">
        <v>72</v>
      </c>
      <c r="B33" s="34" t="s">
        <v>111</v>
      </c>
      <c r="C33" s="167"/>
      <c r="D33" s="233"/>
      <c r="G33" s="15"/>
    </row>
    <row r="34" spans="1:7">
      <c r="A34" s="171" t="s">
        <v>73</v>
      </c>
      <c r="B34" s="33">
        <f>IF((($B$28-$B$32-$B$39-$B$77-$B$38)*C20/100)&lt;0,0,($B$28-$B$32-$B$39-$B$77-$B$38)*C20/100)</f>
        <v>20.314757281553398</v>
      </c>
      <c r="C34" s="167">
        <f>IF(ISERROR(B34/SUM($B$32,$B$34,$B$35,$B$36,$B$38,$B$39)*100),0,B34/SUM($B$32,$B$34,$B$35,$B$36,$B$38,$B$39)*100)</f>
        <v>0.34566542932709543</v>
      </c>
      <c r="D34" s="233"/>
      <c r="G34" s="15"/>
    </row>
    <row r="35" spans="1:7">
      <c r="A35" s="171" t="s">
        <v>74</v>
      </c>
      <c r="B35" s="33">
        <f>IF((($B$28-$B$32-$B$39-$B$77-$B$38)*C21/100)&lt;0,0,($B$28-$B$32-$B$39-$B$77-$B$38)*C21/100)</f>
        <v>882.76854368932038</v>
      </c>
      <c r="C35" s="167">
        <f>IF(ISERROR(B35/SUM($B$32,$B$34,$B$35,$B$36,$B$38,$B$39)*100),0,B35/SUM($B$32,$B$34,$B$35,$B$36,$B$38,$B$39)*100)</f>
        <v>15.020734110759237</v>
      </c>
      <c r="D35" s="233"/>
      <c r="G35" s="15"/>
    </row>
    <row r="36" spans="1:7">
      <c r="A36" s="171" t="s">
        <v>75</v>
      </c>
      <c r="B36" s="33">
        <f>IF((($B$28-$B$32-$B$39-$B$77-$B$38)*C22/100)&lt;0,0,($B$28-$B$32-$B$39-$B$77-$B$38)*C22/100)</f>
        <v>48.016699029126215</v>
      </c>
      <c r="C36" s="167">
        <f>IF(ISERROR(B36/SUM($B$32,$B$34,$B$35,$B$36,$B$38,$B$39)*100),0,B36/SUM($B$32,$B$34,$B$35,$B$36,$B$38,$B$39)*100)</f>
        <v>0.81702737840949835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105.89999999999998</v>
      </c>
      <c r="C39" s="167">
        <f>IF(ISERROR(B39/SUM($B$32,$B$34,$B$35,$B$36,$B$38,$B$39)*100),0,B39/SUM($B$32,$B$34,$B$35,$B$36,$B$38,$B$39)*100)</f>
        <v>1.8019397651863192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4820</v>
      </c>
      <c r="C44" s="34" t="s">
        <v>111</v>
      </c>
      <c r="D44" s="174"/>
    </row>
    <row r="45" spans="1:7">
      <c r="A45" s="171" t="s">
        <v>72</v>
      </c>
      <c r="B45" s="33" t="str">
        <f t="shared" si="0"/>
        <v>-</v>
      </c>
      <c r="C45" s="34" t="s">
        <v>111</v>
      </c>
      <c r="D45" s="174"/>
    </row>
    <row r="46" spans="1:7">
      <c r="A46" s="171" t="s">
        <v>73</v>
      </c>
      <c r="B46" s="33">
        <f t="shared" si="0"/>
        <v>20.314757281553398</v>
      </c>
      <c r="C46" s="34" t="s">
        <v>111</v>
      </c>
      <c r="D46" s="174"/>
    </row>
    <row r="47" spans="1:7">
      <c r="A47" s="171" t="s">
        <v>74</v>
      </c>
      <c r="B47" s="33">
        <f t="shared" si="0"/>
        <v>882.76854368932038</v>
      </c>
      <c r="C47" s="34" t="s">
        <v>111</v>
      </c>
      <c r="D47" s="174"/>
    </row>
    <row r="48" spans="1:7">
      <c r="A48" s="171" t="s">
        <v>75</v>
      </c>
      <c r="B48" s="33">
        <f t="shared" si="0"/>
        <v>48.016699029126215</v>
      </c>
      <c r="C48" s="33">
        <f>B48*10</f>
        <v>480.16699029126215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105.89999999999998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34085.230726881993</v>
      </c>
      <c r="C5" s="17">
        <f>IF(ISERROR('Eigen informatie GS &amp; warmtenet'!B58),0,'Eigen informatie GS &amp; warmtenet'!B58)</f>
        <v>0</v>
      </c>
      <c r="D5" s="30">
        <f>SUM(D6:D12)</f>
        <v>38605.438542000004</v>
      </c>
      <c r="E5" s="17">
        <f>SUM(E6:E12)</f>
        <v>715.74531281007989</v>
      </c>
      <c r="F5" s="17">
        <f>SUM(F6:F12)</f>
        <v>8483.4003469225736</v>
      </c>
      <c r="G5" s="18"/>
      <c r="H5" s="17"/>
      <c r="I5" s="17"/>
      <c r="J5" s="17">
        <f>SUM(J6:J12)</f>
        <v>0</v>
      </c>
      <c r="K5" s="17"/>
      <c r="L5" s="17"/>
      <c r="M5" s="17"/>
      <c r="N5" s="17">
        <f>SUM(N6:N12)</f>
        <v>2291.1500085638841</v>
      </c>
      <c r="O5" s="17">
        <f>B38*B39*B40</f>
        <v>0</v>
      </c>
      <c r="P5" s="17">
        <f>B46*B47*B48/1000-B46*B47*B48/1000/B49</f>
        <v>38.133333333333333</v>
      </c>
      <c r="R5" s="32"/>
    </row>
    <row r="6" spans="1:18">
      <c r="A6" s="32" t="s">
        <v>54</v>
      </c>
      <c r="B6" s="37">
        <f>B26</f>
        <v>12844.25813</v>
      </c>
      <c r="C6" s="33"/>
      <c r="D6" s="37">
        <f>IF(ISERROR(TER_kantoor_gas_kWh/1000),0,TER_kantoor_gas_kWh/1000)*0.902</f>
        <v>8910.1264780000001</v>
      </c>
      <c r="E6" s="33">
        <f>$C$26*'E Balans VL '!I12/100/3.6*1000000</f>
        <v>168.14716075348687</v>
      </c>
      <c r="F6" s="33">
        <f>$C$26*('E Balans VL '!L12+'E Balans VL '!N12)/100/3.6*1000000</f>
        <v>3275.1530955445114</v>
      </c>
      <c r="G6" s="34"/>
      <c r="H6" s="33"/>
      <c r="I6" s="33"/>
      <c r="J6" s="33">
        <f>$C$26*('E Balans VL '!D12+'E Balans VL '!E12)/100/3.6*1000000</f>
        <v>0</v>
      </c>
      <c r="K6" s="33"/>
      <c r="L6" s="33"/>
      <c r="M6" s="33"/>
      <c r="N6" s="33">
        <f>$C$26*'E Balans VL '!Y12/100/3.6*1000000</f>
        <v>12.887510481278227</v>
      </c>
      <c r="O6" s="33"/>
      <c r="P6" s="33"/>
      <c r="R6" s="32"/>
    </row>
    <row r="7" spans="1:18">
      <c r="A7" s="32" t="s">
        <v>53</v>
      </c>
      <c r="B7" s="37">
        <f t="shared" ref="B7:B12" si="0">B27</f>
        <v>3329.3473899000001</v>
      </c>
      <c r="C7" s="33"/>
      <c r="D7" s="37">
        <f>IF(ISERROR(TER_horeca_gas_kWh/1000),0,TER_horeca_gas_kWh/1000)*0.902</f>
        <v>6084.8387819999998</v>
      </c>
      <c r="E7" s="33">
        <f>$C$27*'E Balans VL '!I9/100/3.6*1000000</f>
        <v>110.18114686488096</v>
      </c>
      <c r="F7" s="33">
        <f>$C$27*('E Balans VL '!L9+'E Balans VL '!N9)/100/3.6*1000000</f>
        <v>1431.6066180522535</v>
      </c>
      <c r="G7" s="34"/>
      <c r="H7" s="33"/>
      <c r="I7" s="33"/>
      <c r="J7" s="33">
        <f>$C$27*('E Balans VL '!D9+'E Balans VL '!E9)/100/3.6*1000000</f>
        <v>0</v>
      </c>
      <c r="K7" s="33"/>
      <c r="L7" s="33"/>
      <c r="M7" s="33"/>
      <c r="N7" s="33">
        <f>$C$27*'E Balans VL '!Y9/100/3.6*1000000</f>
        <v>0.80142226417872109</v>
      </c>
      <c r="O7" s="33"/>
      <c r="P7" s="33"/>
      <c r="R7" s="32"/>
    </row>
    <row r="8" spans="1:18">
      <c r="A8" s="6" t="s">
        <v>52</v>
      </c>
      <c r="B8" s="37">
        <f t="shared" si="0"/>
        <v>12001.901028999999</v>
      </c>
      <c r="C8" s="33"/>
      <c r="D8" s="37">
        <f>IF(ISERROR(TER_handel_gas_kWh/1000),0,TER_handel_gas_kWh/1000)*0.902</f>
        <v>17381.333442000003</v>
      </c>
      <c r="E8" s="33">
        <f>$C$28*'E Balans VL '!I13/100/3.6*1000000</f>
        <v>378.79833483414188</v>
      </c>
      <c r="F8" s="33">
        <f>$C$28*('E Balans VL '!L13+'E Balans VL '!N13)/100/3.6*1000000</f>
        <v>2353.7841321428477</v>
      </c>
      <c r="G8" s="34"/>
      <c r="H8" s="33"/>
      <c r="I8" s="33"/>
      <c r="J8" s="33">
        <f>$C$28*('E Balans VL '!D13+'E Balans VL '!E13)/100/3.6*1000000</f>
        <v>0</v>
      </c>
      <c r="K8" s="33"/>
      <c r="L8" s="33"/>
      <c r="M8" s="33"/>
      <c r="N8" s="33">
        <f>$C$28*'E Balans VL '!Y13/100/3.6*1000000</f>
        <v>14.243926380944108</v>
      </c>
      <c r="O8" s="33"/>
      <c r="P8" s="33"/>
      <c r="R8" s="32"/>
    </row>
    <row r="9" spans="1:18">
      <c r="A9" s="32" t="s">
        <v>51</v>
      </c>
      <c r="B9" s="37">
        <f t="shared" si="0"/>
        <v>252.57479271</v>
      </c>
      <c r="C9" s="33"/>
      <c r="D9" s="37">
        <f>IF(ISERROR(TER_gezond_gas_kWh/1000),0,TER_gezond_gas_kWh/1000)*0.902</f>
        <v>2622.1419620000001</v>
      </c>
      <c r="E9" s="33">
        <f>$C$29*'E Balans VL '!I10/100/3.6*1000000</f>
        <v>3.2336962378494635E-2</v>
      </c>
      <c r="F9" s="33">
        <f>$C$29*('E Balans VL '!L10+'E Balans VL '!N10)/100/3.6*1000000</f>
        <v>52.621915701227124</v>
      </c>
      <c r="G9" s="34"/>
      <c r="H9" s="33"/>
      <c r="I9" s="33"/>
      <c r="J9" s="33">
        <f>$C$29*('E Balans VL '!D10+'E Balans VL '!E10)/100/3.6*1000000</f>
        <v>0</v>
      </c>
      <c r="K9" s="33"/>
      <c r="L9" s="33"/>
      <c r="M9" s="33"/>
      <c r="N9" s="33">
        <f>$C$29*'E Balans VL '!Y10/100/3.6*1000000</f>
        <v>2.9666103229207086</v>
      </c>
      <c r="O9" s="33"/>
      <c r="P9" s="33"/>
      <c r="R9" s="32"/>
    </row>
    <row r="10" spans="1:18">
      <c r="A10" s="32" t="s">
        <v>50</v>
      </c>
      <c r="B10" s="37">
        <f t="shared" si="0"/>
        <v>2519.8441190999997</v>
      </c>
      <c r="C10" s="33"/>
      <c r="D10" s="37">
        <f>IF(ISERROR(TER_ander_gas_kWh/1000),0,TER_ander_gas_kWh/1000)*0.902</f>
        <v>2852.87266</v>
      </c>
      <c r="E10" s="33">
        <f>$C$30*'E Balans VL '!I14/100/3.6*1000000</f>
        <v>3.7892529745026633</v>
      </c>
      <c r="F10" s="33">
        <f>$C$30*('E Balans VL '!L14+'E Balans VL '!N14)/100/3.6*1000000</f>
        <v>556.30035533762941</v>
      </c>
      <c r="G10" s="34"/>
      <c r="H10" s="33"/>
      <c r="I10" s="33"/>
      <c r="J10" s="33">
        <f>$C$30*('E Balans VL '!D14+'E Balans VL '!E14)/100/3.6*1000000</f>
        <v>0</v>
      </c>
      <c r="K10" s="33"/>
      <c r="L10" s="33"/>
      <c r="M10" s="33"/>
      <c r="N10" s="33">
        <f>$C$30*'E Balans VL '!Y14/100/3.6*1000000</f>
        <v>1985.8067449662465</v>
      </c>
      <c r="O10" s="33"/>
      <c r="P10" s="33"/>
      <c r="R10" s="32"/>
    </row>
    <row r="11" spans="1:18">
      <c r="A11" s="32" t="s">
        <v>55</v>
      </c>
      <c r="B11" s="37">
        <f t="shared" si="0"/>
        <v>27.763287372000001</v>
      </c>
      <c r="C11" s="33"/>
      <c r="D11" s="37">
        <f>IF(ISERROR(TER_onderwijs_gas_kWh/1000),0,TER_onderwijs_gas_kWh/1000)*0.902</f>
        <v>754.12521800000002</v>
      </c>
      <c r="E11" s="33">
        <f>$C$31*'E Balans VL '!I11/100/3.6*1000000</f>
        <v>4.8893475617531712E-2</v>
      </c>
      <c r="F11" s="33">
        <f>$C$31*('E Balans VL '!L11+'E Balans VL '!N11)/100/3.6*1000000</f>
        <v>12.818812155506503</v>
      </c>
      <c r="G11" s="34"/>
      <c r="H11" s="33"/>
      <c r="I11" s="33"/>
      <c r="J11" s="33">
        <f>$C$31*('E Balans VL '!D11+'E Balans VL '!E11)/100/3.6*1000000</f>
        <v>0</v>
      </c>
      <c r="K11" s="33"/>
      <c r="L11" s="33"/>
      <c r="M11" s="33"/>
      <c r="N11" s="33">
        <f>$C$31*'E Balans VL '!Y11/100/3.6*1000000</f>
        <v>5.1723388306393364E-2</v>
      </c>
      <c r="O11" s="33"/>
      <c r="P11" s="33"/>
      <c r="R11" s="32"/>
    </row>
    <row r="12" spans="1:18">
      <c r="A12" s="32" t="s">
        <v>260</v>
      </c>
      <c r="B12" s="37">
        <f t="shared" si="0"/>
        <v>3109.5419788000004</v>
      </c>
      <c r="C12" s="33"/>
      <c r="D12" s="37">
        <f>IF(ISERROR(TER_rest_gas_kWh/1000),0,TER_rest_gas_kWh/1000)*0.902</f>
        <v>0</v>
      </c>
      <c r="E12" s="33">
        <f>$C$32*'E Balans VL '!I8/100/3.6*1000000</f>
        <v>54.748186945071488</v>
      </c>
      <c r="F12" s="33">
        <f>$C$32*('E Balans VL '!L8+'E Balans VL '!N8)/100/3.6*1000000</f>
        <v>801.11541798859776</v>
      </c>
      <c r="G12" s="34"/>
      <c r="H12" s="33"/>
      <c r="I12" s="33"/>
      <c r="J12" s="33">
        <f>$C$32*('E Balans VL '!D8+'E Balans VL '!E8)/100/3.6*1000000</f>
        <v>0</v>
      </c>
      <c r="K12" s="33"/>
      <c r="L12" s="33"/>
      <c r="M12" s="33"/>
      <c r="N12" s="33">
        <f>$C$32*'E Balans VL '!Y8/100/3.6*1000000</f>
        <v>274.3920707600094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34085.230726881993</v>
      </c>
      <c r="C16" s="21">
        <f t="shared" ca="1" si="1"/>
        <v>0</v>
      </c>
      <c r="D16" s="21">
        <f t="shared" ca="1" si="1"/>
        <v>38605.438542000004</v>
      </c>
      <c r="E16" s="21">
        <f t="shared" si="1"/>
        <v>715.74531281007989</v>
      </c>
      <c r="F16" s="21">
        <f t="shared" ca="1" si="1"/>
        <v>8483.4003469225736</v>
      </c>
      <c r="G16" s="21">
        <f t="shared" si="1"/>
        <v>0</v>
      </c>
      <c r="H16" s="21">
        <f t="shared" si="1"/>
        <v>0</v>
      </c>
      <c r="I16" s="21">
        <f t="shared" si="1"/>
        <v>0</v>
      </c>
      <c r="J16" s="21">
        <f t="shared" si="1"/>
        <v>0</v>
      </c>
      <c r="K16" s="21">
        <f t="shared" si="1"/>
        <v>0</v>
      </c>
      <c r="L16" s="21">
        <f t="shared" ca="1" si="1"/>
        <v>0</v>
      </c>
      <c r="M16" s="21">
        <f t="shared" si="1"/>
        <v>0</v>
      </c>
      <c r="N16" s="21">
        <f t="shared" ca="1" si="1"/>
        <v>2291.1500085638841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0.21103854427194829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7193.2974737746581</v>
      </c>
      <c r="C20" s="23">
        <f t="shared" ref="C20:P20" ca="1" si="2">C16*C18</f>
        <v>0</v>
      </c>
      <c r="D20" s="23">
        <f t="shared" ca="1" si="2"/>
        <v>7798.2985854840008</v>
      </c>
      <c r="E20" s="23">
        <f t="shared" si="2"/>
        <v>162.47418600788814</v>
      </c>
      <c r="F20" s="23">
        <f t="shared" ca="1" si="2"/>
        <v>2265.0678926283272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12844.25813</v>
      </c>
      <c r="C26" s="39">
        <f>IF(ISERROR(B26*3.6/1000000/'E Balans VL '!Z12*100),0,B26*3.6/1000000/'E Balans VL '!Z12*100)</f>
        <v>0.2751339874601903</v>
      </c>
      <c r="D26" s="237" t="s">
        <v>660</v>
      </c>
      <c r="F26" s="6"/>
    </row>
    <row r="27" spans="1:18">
      <c r="A27" s="231" t="s">
        <v>53</v>
      </c>
      <c r="B27" s="33">
        <f>IF(ISERROR(TER_horeca_ele_kWh/1000),0,TER_horeca_ele_kWh/1000)</f>
        <v>3329.3473899000001</v>
      </c>
      <c r="C27" s="39">
        <f>IF(ISERROR(B27*3.6/1000000/'E Balans VL '!Z9*100),0,B27*3.6/1000000/'E Balans VL '!Z9*100)</f>
        <v>0.26716855534607215</v>
      </c>
      <c r="D27" s="237" t="s">
        <v>660</v>
      </c>
      <c r="F27" s="6"/>
    </row>
    <row r="28" spans="1:18">
      <c r="A28" s="171" t="s">
        <v>52</v>
      </c>
      <c r="B28" s="33">
        <f>IF(ISERROR(TER_handel_ele_kWh/1000),0,TER_handel_ele_kWh/1000)</f>
        <v>12001.901028999999</v>
      </c>
      <c r="C28" s="39">
        <f>IF(ISERROR(B28*3.6/1000000/'E Balans VL '!Z13*100),0,B28*3.6/1000000/'E Balans VL '!Z13*100)</f>
        <v>0.35398724019700845</v>
      </c>
      <c r="D28" s="237" t="s">
        <v>660</v>
      </c>
      <c r="F28" s="6"/>
    </row>
    <row r="29" spans="1:18">
      <c r="A29" s="231" t="s">
        <v>51</v>
      </c>
      <c r="B29" s="33">
        <f>IF(ISERROR(TER_gezond_ele_kWh/1000),0,TER_gezond_ele_kWh/1000)</f>
        <v>252.57479271</v>
      </c>
      <c r="C29" s="39">
        <f>IF(ISERROR(B29*3.6/1000000/'E Balans VL '!Z10*100),0,B29*3.6/1000000/'E Balans VL '!Z10*100)</f>
        <v>2.6968216077295628E-2</v>
      </c>
      <c r="D29" s="237" t="s">
        <v>660</v>
      </c>
      <c r="F29" s="6"/>
    </row>
    <row r="30" spans="1:18">
      <c r="A30" s="231" t="s">
        <v>50</v>
      </c>
      <c r="B30" s="33">
        <f>IF(ISERROR(TER_ander_ele_kWh/1000),0,TER_ander_ele_kWh/1000)</f>
        <v>2519.8441190999997</v>
      </c>
      <c r="C30" s="39">
        <f>IF(ISERROR(B30*3.6/1000000/'E Balans VL '!Z14*100),0,B30*3.6/1000000/'E Balans VL '!Z14*100)</f>
        <v>0.19033372134434615</v>
      </c>
      <c r="D30" s="237" t="s">
        <v>660</v>
      </c>
      <c r="F30" s="6"/>
    </row>
    <row r="31" spans="1:18">
      <c r="A31" s="231" t="s">
        <v>55</v>
      </c>
      <c r="B31" s="33">
        <f>IF(ISERROR(TER_onderwijs_ele_kWh/1000),0,TER_onderwijs_ele_kWh/1000)</f>
        <v>27.763287372000001</v>
      </c>
      <c r="C31" s="39">
        <f>IF(ISERROR(B31*3.6/1000000/'E Balans VL '!Z11*100),0,B31*3.6/1000000/'E Balans VL '!Z11*100)</f>
        <v>5.6063345305392637E-3</v>
      </c>
      <c r="D31" s="237" t="s">
        <v>660</v>
      </c>
    </row>
    <row r="32" spans="1:18">
      <c r="A32" s="231" t="s">
        <v>260</v>
      </c>
      <c r="B32" s="33">
        <f>IF(ISERROR(TER_rest_ele_kWh/1000),0,TER_rest_ele_kWh/1000)</f>
        <v>3109.5419788000004</v>
      </c>
      <c r="C32" s="39">
        <f>IF(ISERROR(B32*3.6/1000000/'E Balans VL '!Z8*100),0,B32*3.6/1000000/'E Balans VL '!Z8*100)</f>
        <v>2.5782433010220297E-2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17158.684489110001</v>
      </c>
      <c r="C5" s="17">
        <f>IF(ISERROR('Eigen informatie GS &amp; warmtenet'!B59),0,'Eigen informatie GS &amp; warmtenet'!B59)</f>
        <v>0</v>
      </c>
      <c r="D5" s="30">
        <f>SUM(D6:D15)</f>
        <v>20053.06105</v>
      </c>
      <c r="E5" s="17">
        <f>SUM(E6:E15)</f>
        <v>1135.0807800902855</v>
      </c>
      <c r="F5" s="17">
        <f>SUM(F6:F15)</f>
        <v>4862.2457150853697</v>
      </c>
      <c r="G5" s="18"/>
      <c r="H5" s="17"/>
      <c r="I5" s="17"/>
      <c r="J5" s="17">
        <f>SUM(J6:J15)</f>
        <v>136.08478101832975</v>
      </c>
      <c r="K5" s="17"/>
      <c r="L5" s="17"/>
      <c r="M5" s="17"/>
      <c r="N5" s="17">
        <f>SUM(N6:N15)</f>
        <v>4401.1700524581456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1334.7665327999998</v>
      </c>
      <c r="C8" s="33"/>
      <c r="D8" s="37">
        <f>IF( ISERROR(IND_metaal_Gas_kWH/1000),0,IND_metaal_Gas_kWH/1000)*0.902</f>
        <v>9027.2511780000004</v>
      </c>
      <c r="E8" s="33">
        <f>C30*'E Balans VL '!I18/100/3.6*1000000</f>
        <v>48.028937792629783</v>
      </c>
      <c r="F8" s="33">
        <f>C30*'E Balans VL '!L18/100/3.6*1000000+C30*'E Balans VL '!N18/100/3.6*1000000</f>
        <v>582.84927639801629</v>
      </c>
      <c r="G8" s="34"/>
      <c r="H8" s="33"/>
      <c r="I8" s="33"/>
      <c r="J8" s="40">
        <f>C30*'E Balans VL '!D18/100/3.6*1000000+C30*'E Balans VL '!E18/100/3.6*1000000</f>
        <v>0</v>
      </c>
      <c r="K8" s="33"/>
      <c r="L8" s="33"/>
      <c r="M8" s="33"/>
      <c r="N8" s="33">
        <f>C30*'E Balans VL '!Y18/100/3.6*1000000</f>
        <v>66.89759155396419</v>
      </c>
      <c r="O8" s="33"/>
      <c r="P8" s="33"/>
      <c r="R8" s="32"/>
    </row>
    <row r="9" spans="1:18">
      <c r="A9" s="6" t="s">
        <v>33</v>
      </c>
      <c r="B9" s="37">
        <f t="shared" si="0"/>
        <v>1422.9303660999999</v>
      </c>
      <c r="C9" s="33"/>
      <c r="D9" s="37">
        <f>IF( ISERROR(IND_andere_gas_kWh/1000),0,IND_andere_gas_kWh/1000)*0.902</f>
        <v>2286.0197800000001</v>
      </c>
      <c r="E9" s="33">
        <f>C31*'E Balans VL '!I19/100/3.6*1000000</f>
        <v>363.09963472744693</v>
      </c>
      <c r="F9" s="33">
        <f>C31*'E Balans VL '!L19/100/3.6*1000000+C31*'E Balans VL '!N19/100/3.6*1000000</f>
        <v>1225.0360936078625</v>
      </c>
      <c r="G9" s="34"/>
      <c r="H9" s="33"/>
      <c r="I9" s="33"/>
      <c r="J9" s="40">
        <f>C31*'E Balans VL '!D19/100/3.6*1000000+C31*'E Balans VL '!E19/100/3.6*1000000</f>
        <v>0</v>
      </c>
      <c r="K9" s="33"/>
      <c r="L9" s="33"/>
      <c r="M9" s="33"/>
      <c r="N9" s="33">
        <f>C31*'E Balans VL '!Y19/100/3.6*1000000</f>
        <v>444.99905575517835</v>
      </c>
      <c r="O9" s="33"/>
      <c r="P9" s="33"/>
      <c r="R9" s="32"/>
    </row>
    <row r="10" spans="1:18">
      <c r="A10" s="6" t="s">
        <v>41</v>
      </c>
      <c r="B10" s="37">
        <f t="shared" si="0"/>
        <v>1152.9755004000001</v>
      </c>
      <c r="C10" s="33"/>
      <c r="D10" s="37">
        <f>IF( ISERROR(IND_voed_gas_kWh/1000),0,IND_voed_gas_kWh/1000)*0.902</f>
        <v>7800.6691839999994</v>
      </c>
      <c r="E10" s="33">
        <f>C32*'E Balans VL '!I20/100/3.6*1000000</f>
        <v>29.310220385267751</v>
      </c>
      <c r="F10" s="33">
        <f>C32*'E Balans VL '!L20/100/3.6*1000000+C32*'E Balans VL '!N20/100/3.6*1000000</f>
        <v>260.90104808564587</v>
      </c>
      <c r="G10" s="34"/>
      <c r="H10" s="33"/>
      <c r="I10" s="33"/>
      <c r="J10" s="40">
        <f>C32*'E Balans VL '!D20/100/3.6*1000000+C32*'E Balans VL '!E20/100/3.6*1000000</f>
        <v>0</v>
      </c>
      <c r="K10" s="33"/>
      <c r="L10" s="33"/>
      <c r="M10" s="33"/>
      <c r="N10" s="33">
        <f>C32*'E Balans VL '!Y20/100/3.6*1000000</f>
        <v>432.39706528021856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311.95670000000001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487.47253181000002</v>
      </c>
      <c r="C13" s="33"/>
      <c r="D13" s="37">
        <f>IF( ISERROR(IND_papier_gas_kWh/1000),0,IND_papier_gas_kWh/1000)*0.902</f>
        <v>535.06008599999996</v>
      </c>
      <c r="E13" s="33">
        <f>C35*'E Balans VL '!I23/100/3.6*1000000</f>
        <v>2.0906278745045839</v>
      </c>
      <c r="F13" s="33">
        <f>C35*'E Balans VL '!L23/100/3.6*1000000+C35*'E Balans VL '!N23/100/3.6*1000000</f>
        <v>12.25169774280522</v>
      </c>
      <c r="G13" s="34"/>
      <c r="H13" s="33"/>
      <c r="I13" s="33"/>
      <c r="J13" s="40">
        <f>C35*'E Balans VL '!D23/100/3.6*1000000+C35*'E Balans VL '!E23/100/3.6*1000000</f>
        <v>32.633612327826782</v>
      </c>
      <c r="K13" s="33"/>
      <c r="L13" s="33"/>
      <c r="M13" s="33"/>
      <c r="N13" s="33">
        <f>C35*'E Balans VL '!Y23/100/3.6*1000000</f>
        <v>887.31593328509257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12760.539558</v>
      </c>
      <c r="C15" s="33"/>
      <c r="D15" s="37">
        <f>IF( ISERROR(IND_rest_gas_kWh/1000),0,IND_rest_gas_kWh/1000)*0.902</f>
        <v>92.104122000000004</v>
      </c>
      <c r="E15" s="33">
        <f>C37*'E Balans VL '!I15/100/3.6*1000000</f>
        <v>692.55135931043651</v>
      </c>
      <c r="F15" s="33">
        <f>C37*'E Balans VL '!L15/100/3.6*1000000+C37*'E Balans VL '!N15/100/3.6*1000000</f>
        <v>2781.207599251039</v>
      </c>
      <c r="G15" s="34"/>
      <c r="H15" s="33"/>
      <c r="I15" s="33"/>
      <c r="J15" s="40">
        <f>C37*'E Balans VL '!D15/100/3.6*1000000+C37*'E Balans VL '!E15/100/3.6*1000000</f>
        <v>103.45116869050297</v>
      </c>
      <c r="K15" s="33"/>
      <c r="L15" s="33"/>
      <c r="M15" s="33"/>
      <c r="N15" s="33">
        <f>C37*'E Balans VL '!Y15/100/3.6*1000000</f>
        <v>2569.5604065836919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17158.684489110001</v>
      </c>
      <c r="C18" s="21">
        <f>C5+C16</f>
        <v>0</v>
      </c>
      <c r="D18" s="21">
        <f>MAX((D5+D16),0)</f>
        <v>20053.06105</v>
      </c>
      <c r="E18" s="21">
        <f>MAX((E5+E16),0)</f>
        <v>1135.0807800902855</v>
      </c>
      <c r="F18" s="21">
        <f>MAX((F5+F16),0)</f>
        <v>4862.2457150853697</v>
      </c>
      <c r="G18" s="21"/>
      <c r="H18" s="21"/>
      <c r="I18" s="21"/>
      <c r="J18" s="21">
        <f>MAX((J5+J16),0)</f>
        <v>136.08478101832975</v>
      </c>
      <c r="K18" s="21"/>
      <c r="L18" s="21">
        <f>MAX((L5+L16),0)</f>
        <v>0</v>
      </c>
      <c r="M18" s="21"/>
      <c r="N18" s="21">
        <f>MAX((N5+N16),0)</f>
        <v>4401.1700524581456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0.21103854427194829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3621.1437962034333</v>
      </c>
      <c r="C22" s="23">
        <f ca="1">C18*C20</f>
        <v>0</v>
      </c>
      <c r="D22" s="23">
        <f>D18*D20</f>
        <v>4050.7183321000002</v>
      </c>
      <c r="E22" s="23">
        <f>E18*E20</f>
        <v>257.66333708049484</v>
      </c>
      <c r="F22" s="23">
        <f>F18*F20</f>
        <v>1298.2196059277937</v>
      </c>
      <c r="G22" s="23"/>
      <c r="H22" s="23"/>
      <c r="I22" s="23"/>
      <c r="J22" s="23">
        <f>J18*J20</f>
        <v>48.174012480488727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1334.7665327999998</v>
      </c>
      <c r="C30" s="39">
        <f>IF(ISERROR(B30*3.6/1000000/'E Balans VL '!Z18*100),0,B30*3.6/1000000/'E Balans VL '!Z18*100)</f>
        <v>0.28280841166006382</v>
      </c>
      <c r="D30" s="237" t="s">
        <v>660</v>
      </c>
    </row>
    <row r="31" spans="1:18">
      <c r="A31" s="6" t="s">
        <v>33</v>
      </c>
      <c r="B31" s="37">
        <f>IF( ISERROR(IND_ander_ele_kWh/1000),0,IND_ander_ele_kWh/1000)</f>
        <v>1422.9303660999999</v>
      </c>
      <c r="C31" s="39">
        <f>IF(ISERROR(B31*3.6/1000000/'E Balans VL '!Z19*100),0,B31*3.6/1000000/'E Balans VL '!Z19*100)</f>
        <v>5.9894370107522542E-2</v>
      </c>
      <c r="D31" s="237" t="s">
        <v>660</v>
      </c>
    </row>
    <row r="32" spans="1:18">
      <c r="A32" s="171" t="s">
        <v>41</v>
      </c>
      <c r="B32" s="37">
        <f>IF( ISERROR(IND_voed_ele_kWh/1000),0,IND_voed_ele_kWh/1000)</f>
        <v>1152.9755004000001</v>
      </c>
      <c r="C32" s="39">
        <f>IF(ISERROR(B32*3.6/1000000/'E Balans VL '!Z20*100),0,B32*3.6/1000000/'E Balans VL '!Z20*100)</f>
        <v>0.1926176023624139</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487.47253181000002</v>
      </c>
      <c r="C35" s="39">
        <f>IF(ISERROR(B35*3.6/1000000/'E Balans VL '!Z22*100),0,B35*3.6/1000000/'E Balans VL '!Z22*100)</f>
        <v>6.1789772338517103E-2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12760.539558</v>
      </c>
      <c r="C37" s="39">
        <f>IF(ISERROR(B37*3.6/1000000/'E Balans VL '!Z15*100),0,B37*3.6/1000000/'E Balans VL '!Z15*100)</f>
        <v>0.10302077695912032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567.34814171999994</v>
      </c>
      <c r="C5" s="17">
        <f>'Eigen informatie GS &amp; warmtenet'!B60</f>
        <v>0</v>
      </c>
      <c r="D5" s="30">
        <f>IF(ISERROR(SUM(LB_lb_gas_kWh,LB_rest_gas_kWh,onbekend_gas_kWh)/1000),0,SUM(LB_lb_gas_kWh,LB_rest_gas_kWh,onbekend_gas_kWh)/1000)*0.902</f>
        <v>4009.8310779999997</v>
      </c>
      <c r="E5" s="17">
        <f>B17*'E Balans VL '!I25/3.6*1000000/100</f>
        <v>14.629730209945736</v>
      </c>
      <c r="F5" s="17">
        <f>B17*('E Balans VL '!L25/3.6*1000000+'E Balans VL '!N25/3.6*1000000)/100</f>
        <v>2073.7655041916146</v>
      </c>
      <c r="G5" s="18"/>
      <c r="H5" s="17"/>
      <c r="I5" s="17"/>
      <c r="J5" s="17">
        <f>('E Balans VL '!D25+'E Balans VL '!E25)/3.6*1000000*landbouw!B17/100</f>
        <v>81.677261566148914</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567.34814171999994</v>
      </c>
      <c r="C8" s="21">
        <f>C5+C6</f>
        <v>0</v>
      </c>
      <c r="D8" s="21">
        <f>MAX((D5+D6),0)</f>
        <v>4009.8310779999997</v>
      </c>
      <c r="E8" s="21">
        <f>MAX((E5+E6),0)</f>
        <v>14.629730209945736</v>
      </c>
      <c r="F8" s="21">
        <f>MAX((F5+F6),0)</f>
        <v>2073.7655041916146</v>
      </c>
      <c r="G8" s="21"/>
      <c r="H8" s="21"/>
      <c r="I8" s="21"/>
      <c r="J8" s="21">
        <f>MAX((J5+J6),0)</f>
        <v>81.677261566148914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0.21103854427194829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119.73232592398381</v>
      </c>
      <c r="C12" s="23">
        <f ca="1">C8*C10</f>
        <v>0</v>
      </c>
      <c r="D12" s="23">
        <f>D8*D10</f>
        <v>809.98587775600004</v>
      </c>
      <c r="E12" s="23">
        <f>E8*E10</f>
        <v>3.3209487576576819</v>
      </c>
      <c r="F12" s="23">
        <f>F8*F10</f>
        <v>553.69538961916112</v>
      </c>
      <c r="G12" s="23"/>
      <c r="H12" s="23"/>
      <c r="I12" s="23"/>
      <c r="J12" s="23">
        <f>J8*J10</f>
        <v>28.913750594416715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7.9999846012344916E-2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37.281127411578197</v>
      </c>
      <c r="C26" s="247">
        <f>B26*'GWP N2O_CH4'!B5</f>
        <v>782.90367564314215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6.4162835708388064</v>
      </c>
      <c r="C27" s="247">
        <f>B27*'GWP N2O_CH4'!B5</f>
        <v>134.74195498761495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0.43787598052584614</v>
      </c>
      <c r="C28" s="247">
        <f>B28*'GWP N2O_CH4'!B4</f>
        <v>135.74155396301231</v>
      </c>
      <c r="D28" s="50"/>
    </row>
    <row r="29" spans="1:4">
      <c r="A29" s="41" t="s">
        <v>277</v>
      </c>
      <c r="B29" s="247">
        <f>B34*'ha_N2O bodem landbouw'!B4</f>
        <v>1.9877663603674109</v>
      </c>
      <c r="C29" s="247">
        <f>B29*'GWP N2O_CH4'!B4</f>
        <v>616.20757171389744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4.4735544944887875E-4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1.8617077637925167E-4</v>
      </c>
      <c r="C5" s="463" t="s">
        <v>211</v>
      </c>
      <c r="D5" s="448">
        <f>SUM(D6:D11)</f>
        <v>4.0038876757581834E-4</v>
      </c>
      <c r="E5" s="448">
        <f>SUM(E6:E11)</f>
        <v>1.5731718062618107E-3</v>
      </c>
      <c r="F5" s="461" t="s">
        <v>211</v>
      </c>
      <c r="G5" s="448">
        <f>SUM(G6:G11)</f>
        <v>0.81815890485225173</v>
      </c>
      <c r="H5" s="448">
        <f>SUM(H6:H11)</f>
        <v>0.10818907208195702</v>
      </c>
      <c r="I5" s="463" t="s">
        <v>211</v>
      </c>
      <c r="J5" s="463" t="s">
        <v>211</v>
      </c>
      <c r="K5" s="463" t="s">
        <v>211</v>
      </c>
      <c r="L5" s="463" t="s">
        <v>211</v>
      </c>
      <c r="M5" s="448">
        <f>SUM(M6:M11)</f>
        <v>2.901594728897678E-2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1.580453703202095E-4</v>
      </c>
      <c r="C6" s="449"/>
      <c r="D6" s="962">
        <f>vkm_2011_GW_PW*SUMIFS(TableVerdeelsleutelVkm[CNG],TableVerdeelsleutelVkm[Voertuigtype],"Lichte voertuigen")*SUMIFS(TableECFTransport[EnergieConsumptieFactor (PJ per km)],TableECFTransport[Index],CONCATENATE($A6,"_CNG_CNG"))</f>
        <v>3.1403891923343193E-4</v>
      </c>
      <c r="E6" s="962">
        <f>vkm_2011_GW_PW*SUMIFS(TableVerdeelsleutelVkm[LPG],TableVerdeelsleutelVkm[Voertuigtype],"Lichte voertuigen")*SUMIFS(TableECFTransport[EnergieConsumptieFactor (PJ per km)],TableECFTransport[Index],CONCATENATE($A6,"_LPG_LPG"))</f>
        <v>1.2358557216970117E-3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0.29384408593704892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8.5019783088507481E-2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1.1805748006848166E-2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0.38775359838810519</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1.2526097459570045E-4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1.2217522592708852E-2</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1.936209462279624E-5</v>
      </c>
      <c r="C8" s="449"/>
      <c r="D8" s="451">
        <f>vkm_2011_NGW_PW*SUMIFS(TableVerdeelsleutelVkm[CNG],TableVerdeelsleutelVkm[Voertuigtype],"Lichte voertuigen")*SUMIFS(TableECFTransport[EnergieConsumptieFactor (PJ per km)],TableECFTransport[Index],CONCATENATE($A8,"_CNG_CNG"))</f>
        <v>6.8121331783952275E-5</v>
      </c>
      <c r="E8" s="451">
        <f>vkm_2011_NGW_PW*SUMIFS(TableVerdeelsleutelVkm[LPG],TableVerdeelsleutelVkm[Voertuigtype],"Lichte voertuigen")*SUMIFS(TableECFTransport[EnergieConsumptieFactor (PJ per km)],TableECFTransport[Index],CONCATENATE($A8,"_LPG_LPG"))</f>
        <v>2.4792836009666322E-4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5.5047065461406093E-2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1.7882847116502943E-2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2.2702797205653063E-3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5.1501094006988518E-2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1.5734020902336823E-5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1.6226935867186608E-3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8.7633114362459572E-6</v>
      </c>
      <c r="C10" s="449"/>
      <c r="D10" s="451">
        <f>vkm_2011_SW_PW*SUMIFS(TableVerdeelsleutelVkm[CNG],TableVerdeelsleutelVkm[Voertuigtype],"Lichte voertuigen")*SUMIFS(TableECFTransport[EnergieConsumptieFactor (PJ per km)],TableECFTransport[Index],CONCATENATE($A10,"_CNG_CNG"))</f>
        <v>1.8228516558434132E-5</v>
      </c>
      <c r="E10" s="451">
        <f>vkm_2011_SW_PW*SUMIFS(TableVerdeelsleutelVkm[LPG],TableVerdeelsleutelVkm[Voertuigtype],"Lichte voertuigen")*SUMIFS(TableECFTransport[EnergieConsumptieFactor (PJ per km)],TableECFTransport[Index],CONCATENATE($A10,"_LPG_LPG"))</f>
        <v>8.9387724468135781E-5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1.9038558995493535E-2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5.1416271128322602E-3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7.5390537973607909E-4</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1.097450206320936E-2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3.8197686163036451E-6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3.4579800239971798E-4</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51.714104549792133</v>
      </c>
      <c r="C14" s="21"/>
      <c r="D14" s="21">
        <f t="shared" ref="D14:M14" si="0">((D5)*10^9/3600)+D12</f>
        <v>111.21910210439398</v>
      </c>
      <c r="E14" s="21">
        <f t="shared" si="0"/>
        <v>436.99216840605851</v>
      </c>
      <c r="F14" s="21"/>
      <c r="G14" s="21">
        <f t="shared" si="0"/>
        <v>227266.36245895881</v>
      </c>
      <c r="H14" s="21">
        <f t="shared" si="0"/>
        <v>30052.520022765842</v>
      </c>
      <c r="I14" s="21"/>
      <c r="J14" s="21"/>
      <c r="K14" s="21"/>
      <c r="L14" s="21"/>
      <c r="M14" s="21">
        <f t="shared" si="0"/>
        <v>8059.9853580491063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0.21103854427194829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10.913669342515469</v>
      </c>
      <c r="C18" s="23"/>
      <c r="D18" s="23">
        <f t="shared" ref="D18:M18" si="1">D14*D16</f>
        <v>22.466258625087587</v>
      </c>
      <c r="E18" s="23">
        <f t="shared" si="1"/>
        <v>99.197222228175292</v>
      </c>
      <c r="F18" s="23"/>
      <c r="G18" s="23">
        <f t="shared" si="1"/>
        <v>60680.118776542004</v>
      </c>
      <c r="H18" s="23">
        <f t="shared" si="1"/>
        <v>7483.0774856686949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5.6461377226509025E-3</v>
      </c>
      <c r="H50" s="321">
        <f t="shared" si="2"/>
        <v>0</v>
      </c>
      <c r="I50" s="321">
        <f t="shared" si="2"/>
        <v>0</v>
      </c>
      <c r="J50" s="321">
        <f t="shared" si="2"/>
        <v>0</v>
      </c>
      <c r="K50" s="321">
        <f t="shared" si="2"/>
        <v>0</v>
      </c>
      <c r="L50" s="321">
        <f t="shared" si="2"/>
        <v>0</v>
      </c>
      <c r="M50" s="321">
        <f t="shared" si="2"/>
        <v>1.7513056071845074E-4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5.6461377226509025E-3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1.7513056071845074E-4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1568.3715896252506</v>
      </c>
      <c r="H54" s="21">
        <f t="shared" si="3"/>
        <v>0</v>
      </c>
      <c r="I54" s="21">
        <f t="shared" si="3"/>
        <v>0</v>
      </c>
      <c r="J54" s="21">
        <f t="shared" si="3"/>
        <v>0</v>
      </c>
      <c r="K54" s="21">
        <f t="shared" si="3"/>
        <v>0</v>
      </c>
      <c r="L54" s="21">
        <f t="shared" si="3"/>
        <v>0</v>
      </c>
      <c r="M54" s="21">
        <f t="shared" si="3"/>
        <v>48.647377977347432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0.21103854427194829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418.75521442994193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3497.9491671179721</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3497.9491671179721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35024.342726881994</v>
      </c>
      <c r="D10" s="718">
        <f ca="1">tertiair!C16</f>
        <v>0</v>
      </c>
      <c r="E10" s="718">
        <f ca="1">tertiair!D16</f>
        <v>38605.438542000004</v>
      </c>
      <c r="F10" s="718">
        <f>tertiair!E16</f>
        <v>715.74531281007989</v>
      </c>
      <c r="G10" s="718">
        <f ca="1">tertiair!F16</f>
        <v>8483.4003469225736</v>
      </c>
      <c r="H10" s="718">
        <f>tertiair!G16</f>
        <v>0</v>
      </c>
      <c r="I10" s="718">
        <f>tertiair!H16</f>
        <v>0</v>
      </c>
      <c r="J10" s="718">
        <f>tertiair!I16</f>
        <v>0</v>
      </c>
      <c r="K10" s="718">
        <f>tertiair!J16</f>
        <v>0</v>
      </c>
      <c r="L10" s="718">
        <f>tertiair!K16</f>
        <v>0</v>
      </c>
      <c r="M10" s="718">
        <f ca="1">tertiair!L16</f>
        <v>0</v>
      </c>
      <c r="N10" s="718">
        <f>tertiair!M16</f>
        <v>0</v>
      </c>
      <c r="O10" s="718">
        <f ca="1">tertiair!N16</f>
        <v>2291.1500085638841</v>
      </c>
      <c r="P10" s="718">
        <f>tertiair!O16</f>
        <v>0</v>
      </c>
      <c r="Q10" s="719">
        <f>tertiair!P16</f>
        <v>38.133333333333333</v>
      </c>
      <c r="R10" s="721">
        <f ca="1">SUM(C10:Q10)</f>
        <v>85158.21027051186</v>
      </c>
      <c r="S10" s="67"/>
    </row>
    <row r="11" spans="1:19" s="474" customFormat="1">
      <c r="A11" s="870" t="s">
        <v>225</v>
      </c>
      <c r="B11" s="875"/>
      <c r="C11" s="718">
        <f>huishoudens!B8</f>
        <v>24801.705308029846</v>
      </c>
      <c r="D11" s="718">
        <f>huishoudens!C8</f>
        <v>0</v>
      </c>
      <c r="E11" s="718">
        <f>huishoudens!D8</f>
        <v>69923.400800000003</v>
      </c>
      <c r="F11" s="718">
        <f>huishoudens!E8</f>
        <v>459.47690071967565</v>
      </c>
      <c r="G11" s="718">
        <f>huishoudens!F8</f>
        <v>2577.8341232397124</v>
      </c>
      <c r="H11" s="718">
        <f>huishoudens!G8</f>
        <v>0</v>
      </c>
      <c r="I11" s="718">
        <f>huishoudens!H8</f>
        <v>0</v>
      </c>
      <c r="J11" s="718">
        <f>huishoudens!I8</f>
        <v>0</v>
      </c>
      <c r="K11" s="718">
        <f>huishoudens!J8</f>
        <v>0</v>
      </c>
      <c r="L11" s="718">
        <f>huishoudens!K8</f>
        <v>0</v>
      </c>
      <c r="M11" s="718">
        <f>huishoudens!L8</f>
        <v>0</v>
      </c>
      <c r="N11" s="718">
        <f>huishoudens!M8</f>
        <v>0</v>
      </c>
      <c r="O11" s="718">
        <f>huishoudens!N8</f>
        <v>3084.4147579894611</v>
      </c>
      <c r="P11" s="718">
        <f>huishoudens!O8</f>
        <v>118.81333333333333</v>
      </c>
      <c r="Q11" s="719">
        <f>huishoudens!P8</f>
        <v>381.33333333333337</v>
      </c>
      <c r="R11" s="721">
        <f>SUM(C11:Q11)</f>
        <v>101346.97855664536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17158.684489110001</v>
      </c>
      <c r="D13" s="718">
        <f>industrie!C18</f>
        <v>0</v>
      </c>
      <c r="E13" s="718">
        <f>industrie!D18</f>
        <v>20053.06105</v>
      </c>
      <c r="F13" s="718">
        <f>industrie!E18</f>
        <v>1135.0807800902855</v>
      </c>
      <c r="G13" s="718">
        <f>industrie!F18</f>
        <v>4862.2457150853697</v>
      </c>
      <c r="H13" s="718">
        <f>industrie!G18</f>
        <v>0</v>
      </c>
      <c r="I13" s="718">
        <f>industrie!H18</f>
        <v>0</v>
      </c>
      <c r="J13" s="718">
        <f>industrie!I18</f>
        <v>0</v>
      </c>
      <c r="K13" s="718">
        <f>industrie!J18</f>
        <v>136.08478101832975</v>
      </c>
      <c r="L13" s="718">
        <f>industrie!K18</f>
        <v>0</v>
      </c>
      <c r="M13" s="718">
        <f>industrie!L18</f>
        <v>0</v>
      </c>
      <c r="N13" s="718">
        <f>industrie!M18</f>
        <v>0</v>
      </c>
      <c r="O13" s="718">
        <f>industrie!N18</f>
        <v>4401.1700524581456</v>
      </c>
      <c r="P13" s="718">
        <f>industrie!O18</f>
        <v>0</v>
      </c>
      <c r="Q13" s="719">
        <f>industrie!P18</f>
        <v>0</v>
      </c>
      <c r="R13" s="721">
        <f>SUM(C13:Q13)</f>
        <v>47746.326867762131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76984.732524021849</v>
      </c>
      <c r="D15" s="723">
        <f t="shared" ref="D15:Q15" ca="1" si="0">SUM(D9:D14)</f>
        <v>0</v>
      </c>
      <c r="E15" s="723">
        <f t="shared" ca="1" si="0"/>
        <v>128581.90039200001</v>
      </c>
      <c r="F15" s="723">
        <f t="shared" si="0"/>
        <v>2310.302993620041</v>
      </c>
      <c r="G15" s="723">
        <f t="shared" ca="1" si="0"/>
        <v>15923.480185247656</v>
      </c>
      <c r="H15" s="723">
        <f t="shared" si="0"/>
        <v>0</v>
      </c>
      <c r="I15" s="723">
        <f t="shared" si="0"/>
        <v>0</v>
      </c>
      <c r="J15" s="723">
        <f t="shared" si="0"/>
        <v>0</v>
      </c>
      <c r="K15" s="723">
        <f t="shared" si="0"/>
        <v>136.08478101832975</v>
      </c>
      <c r="L15" s="723">
        <f t="shared" si="0"/>
        <v>0</v>
      </c>
      <c r="M15" s="723">
        <f t="shared" ca="1" si="0"/>
        <v>0</v>
      </c>
      <c r="N15" s="723">
        <f t="shared" si="0"/>
        <v>0</v>
      </c>
      <c r="O15" s="723">
        <f t="shared" ca="1" si="0"/>
        <v>9776.7348190114899</v>
      </c>
      <c r="P15" s="723">
        <f t="shared" si="0"/>
        <v>118.81333333333333</v>
      </c>
      <c r="Q15" s="724">
        <f t="shared" si="0"/>
        <v>419.4666666666667</v>
      </c>
      <c r="R15" s="725">
        <f ca="1">SUM(R9:R14)</f>
        <v>234251.51569491936</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1568.3715896252506</v>
      </c>
      <c r="I18" s="718">
        <f>transport!H54</f>
        <v>0</v>
      </c>
      <c r="J18" s="718">
        <f>transport!I54</f>
        <v>0</v>
      </c>
      <c r="K18" s="718">
        <f>transport!J54</f>
        <v>0</v>
      </c>
      <c r="L18" s="718">
        <f>transport!K54</f>
        <v>0</v>
      </c>
      <c r="M18" s="718">
        <f>transport!L54</f>
        <v>0</v>
      </c>
      <c r="N18" s="718">
        <f>transport!M54</f>
        <v>48.647377977347432</v>
      </c>
      <c r="O18" s="718">
        <f>transport!N54</f>
        <v>0</v>
      </c>
      <c r="P18" s="718">
        <f>transport!O54</f>
        <v>0</v>
      </c>
      <c r="Q18" s="719">
        <f>transport!P54</f>
        <v>0</v>
      </c>
      <c r="R18" s="721">
        <f>SUM(C18:Q18)</f>
        <v>1617.018967602598</v>
      </c>
      <c r="S18" s="67"/>
    </row>
    <row r="19" spans="1:19" s="474" customFormat="1" ht="15" thickBot="1">
      <c r="A19" s="870" t="s">
        <v>307</v>
      </c>
      <c r="B19" s="875"/>
      <c r="C19" s="727">
        <f>transport!B14</f>
        <v>51.714104549792133</v>
      </c>
      <c r="D19" s="727">
        <f>transport!C14</f>
        <v>0</v>
      </c>
      <c r="E19" s="727">
        <f>transport!D14</f>
        <v>111.21910210439398</v>
      </c>
      <c r="F19" s="727">
        <f>transport!E14</f>
        <v>436.99216840605851</v>
      </c>
      <c r="G19" s="727">
        <f>transport!F14</f>
        <v>0</v>
      </c>
      <c r="H19" s="727">
        <f>transport!G14</f>
        <v>227266.36245895881</v>
      </c>
      <c r="I19" s="727">
        <f>transport!H14</f>
        <v>30052.520022765842</v>
      </c>
      <c r="J19" s="727">
        <f>transport!I14</f>
        <v>0</v>
      </c>
      <c r="K19" s="727">
        <f>transport!J14</f>
        <v>0</v>
      </c>
      <c r="L19" s="727">
        <f>transport!K14</f>
        <v>0</v>
      </c>
      <c r="M19" s="727">
        <f>transport!L14</f>
        <v>0</v>
      </c>
      <c r="N19" s="727">
        <f>transport!M14</f>
        <v>8059.9853580491063</v>
      </c>
      <c r="O19" s="727">
        <f>transport!N14</f>
        <v>0</v>
      </c>
      <c r="P19" s="727">
        <f>transport!O14</f>
        <v>0</v>
      </c>
      <c r="Q19" s="728">
        <f>transport!P14</f>
        <v>0</v>
      </c>
      <c r="R19" s="729">
        <f>SUM(C19:Q19)</f>
        <v>265978.793214834</v>
      </c>
      <c r="S19" s="67"/>
    </row>
    <row r="20" spans="1:19" s="474" customFormat="1" ht="15.75" thickBot="1">
      <c r="A20" s="730" t="s">
        <v>230</v>
      </c>
      <c r="B20" s="878"/>
      <c r="C20" s="873">
        <f>SUM(C17:C19)</f>
        <v>51.714104549792133</v>
      </c>
      <c r="D20" s="731">
        <f t="shared" ref="D20:R20" si="1">SUM(D17:D19)</f>
        <v>0</v>
      </c>
      <c r="E20" s="731">
        <f t="shared" si="1"/>
        <v>111.21910210439398</v>
      </c>
      <c r="F20" s="731">
        <f t="shared" si="1"/>
        <v>436.99216840605851</v>
      </c>
      <c r="G20" s="731">
        <f t="shared" si="1"/>
        <v>0</v>
      </c>
      <c r="H20" s="731">
        <f t="shared" si="1"/>
        <v>228834.73404858407</v>
      </c>
      <c r="I20" s="731">
        <f t="shared" si="1"/>
        <v>30052.520022765842</v>
      </c>
      <c r="J20" s="731">
        <f t="shared" si="1"/>
        <v>0</v>
      </c>
      <c r="K20" s="731">
        <f t="shared" si="1"/>
        <v>0</v>
      </c>
      <c r="L20" s="731">
        <f t="shared" si="1"/>
        <v>0</v>
      </c>
      <c r="M20" s="731">
        <f t="shared" si="1"/>
        <v>0</v>
      </c>
      <c r="N20" s="731">
        <f t="shared" si="1"/>
        <v>8108.632736026454</v>
      </c>
      <c r="O20" s="731">
        <f t="shared" si="1"/>
        <v>0</v>
      </c>
      <c r="P20" s="731">
        <f t="shared" si="1"/>
        <v>0</v>
      </c>
      <c r="Q20" s="732">
        <f t="shared" si="1"/>
        <v>0</v>
      </c>
      <c r="R20" s="733">
        <f t="shared" si="1"/>
        <v>267595.81218243658</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567.34814171999994</v>
      </c>
      <c r="D22" s="727">
        <f>+landbouw!C8</f>
        <v>0</v>
      </c>
      <c r="E22" s="727">
        <f>+landbouw!D8</f>
        <v>4009.8310779999997</v>
      </c>
      <c r="F22" s="727">
        <f>+landbouw!E8</f>
        <v>14.629730209945736</v>
      </c>
      <c r="G22" s="727">
        <f>+landbouw!F8</f>
        <v>2073.7655041916146</v>
      </c>
      <c r="H22" s="727">
        <f>+landbouw!G8</f>
        <v>0</v>
      </c>
      <c r="I22" s="727">
        <f>+landbouw!H8</f>
        <v>0</v>
      </c>
      <c r="J22" s="727">
        <f>+landbouw!I8</f>
        <v>0</v>
      </c>
      <c r="K22" s="727">
        <f>+landbouw!J8</f>
        <v>81.677261566148914</v>
      </c>
      <c r="L22" s="727">
        <f>+landbouw!K8</f>
        <v>0</v>
      </c>
      <c r="M22" s="727">
        <f>+landbouw!L8</f>
        <v>0</v>
      </c>
      <c r="N22" s="727">
        <f>+landbouw!M8</f>
        <v>0</v>
      </c>
      <c r="O22" s="727">
        <f>+landbouw!N8</f>
        <v>0</v>
      </c>
      <c r="P22" s="727">
        <f>+landbouw!O8</f>
        <v>0</v>
      </c>
      <c r="Q22" s="728">
        <f>+landbouw!P8</f>
        <v>0</v>
      </c>
      <c r="R22" s="729">
        <f>SUM(C22:Q22)</f>
        <v>6747.2517156877084</v>
      </c>
      <c r="S22" s="67"/>
    </row>
    <row r="23" spans="1:19" s="474" customFormat="1" ht="17.25" thickTop="1" thickBot="1">
      <c r="A23" s="734" t="s">
        <v>116</v>
      </c>
      <c r="B23" s="864"/>
      <c r="C23" s="735">
        <f ca="1">C20+C15+C22</f>
        <v>77603.794770291643</v>
      </c>
      <c r="D23" s="735">
        <f t="shared" ref="D23:Q23" ca="1" si="2">D20+D15+D22</f>
        <v>0</v>
      </c>
      <c r="E23" s="735">
        <f t="shared" ca="1" si="2"/>
        <v>132702.9505721044</v>
      </c>
      <c r="F23" s="735">
        <f t="shared" si="2"/>
        <v>2761.9248922360453</v>
      </c>
      <c r="G23" s="735">
        <f t="shared" ca="1" si="2"/>
        <v>17997.245689439271</v>
      </c>
      <c r="H23" s="735">
        <f t="shared" si="2"/>
        <v>228834.73404858407</v>
      </c>
      <c r="I23" s="735">
        <f t="shared" si="2"/>
        <v>30052.520022765842</v>
      </c>
      <c r="J23" s="735">
        <f t="shared" si="2"/>
        <v>0</v>
      </c>
      <c r="K23" s="735">
        <f t="shared" si="2"/>
        <v>217.76204258447865</v>
      </c>
      <c r="L23" s="735">
        <f t="shared" si="2"/>
        <v>0</v>
      </c>
      <c r="M23" s="735">
        <f t="shared" ca="1" si="2"/>
        <v>0</v>
      </c>
      <c r="N23" s="735">
        <f t="shared" si="2"/>
        <v>8108.632736026454</v>
      </c>
      <c r="O23" s="735">
        <f t="shared" ca="1" si="2"/>
        <v>9776.7348190114899</v>
      </c>
      <c r="P23" s="735">
        <f t="shared" si="2"/>
        <v>118.81333333333333</v>
      </c>
      <c r="Q23" s="736">
        <f t="shared" si="2"/>
        <v>419.4666666666667</v>
      </c>
      <c r="R23" s="737">
        <f ca="1">R20+R15+R22</f>
        <v>508594.57959304366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7391.4863031629757</v>
      </c>
      <c r="D36" s="718">
        <f ca="1">tertiair!C20</f>
        <v>0</v>
      </c>
      <c r="E36" s="718">
        <f ca="1">tertiair!D20</f>
        <v>7798.2985854840008</v>
      </c>
      <c r="F36" s="718">
        <f>tertiair!E20</f>
        <v>162.47418600788814</v>
      </c>
      <c r="G36" s="718">
        <f ca="1">tertiair!F20</f>
        <v>2265.0678926283272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17617.326967283192</v>
      </c>
    </row>
    <row r="37" spans="1:18">
      <c r="A37" s="885" t="s">
        <v>225</v>
      </c>
      <c r="B37" s="892"/>
      <c r="C37" s="718">
        <f ca="1">huishoudens!B12</f>
        <v>5234.1157836684715</v>
      </c>
      <c r="D37" s="718">
        <f ca="1">huishoudens!C12</f>
        <v>0</v>
      </c>
      <c r="E37" s="718">
        <f>huishoudens!D12</f>
        <v>14124.526961600002</v>
      </c>
      <c r="F37" s="718">
        <f>huishoudens!E12</f>
        <v>104.30125646336637</v>
      </c>
      <c r="G37" s="718">
        <f>huishoudens!F12</f>
        <v>688.28171090500325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20151.225712636846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3621.1437962034333</v>
      </c>
      <c r="D39" s="718">
        <f ca="1">industrie!C22</f>
        <v>0</v>
      </c>
      <c r="E39" s="718">
        <f>industrie!D22</f>
        <v>4050.7183321000002</v>
      </c>
      <c r="F39" s="718">
        <f>industrie!E22</f>
        <v>257.66333708049484</v>
      </c>
      <c r="G39" s="718">
        <f>industrie!F22</f>
        <v>1298.2196059277937</v>
      </c>
      <c r="H39" s="718">
        <f>industrie!G22</f>
        <v>0</v>
      </c>
      <c r="I39" s="718">
        <f>industrie!H22</f>
        <v>0</v>
      </c>
      <c r="J39" s="718">
        <f>industrie!I22</f>
        <v>0</v>
      </c>
      <c r="K39" s="718">
        <f>industrie!J22</f>
        <v>48.174012480488727</v>
      </c>
      <c r="L39" s="718">
        <f>industrie!K22</f>
        <v>0</v>
      </c>
      <c r="M39" s="718">
        <f>industrie!L22</f>
        <v>0</v>
      </c>
      <c r="N39" s="718">
        <f>industrie!M22</f>
        <v>0</v>
      </c>
      <c r="O39" s="718">
        <f>industrie!N22</f>
        <v>0</v>
      </c>
      <c r="P39" s="718">
        <f>industrie!O22</f>
        <v>0</v>
      </c>
      <c r="Q39" s="828">
        <f>industrie!P22</f>
        <v>0</v>
      </c>
      <c r="R39" s="918">
        <f ca="1">SUM(C39:Q39)</f>
        <v>9275.9190837922106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16246.745883034881</v>
      </c>
      <c r="D41" s="763">
        <f t="shared" ref="D41:R41" ca="1" si="4">SUM(D35:D40)</f>
        <v>0</v>
      </c>
      <c r="E41" s="763">
        <f t="shared" ca="1" si="4"/>
        <v>25973.543879184002</v>
      </c>
      <c r="F41" s="763">
        <f t="shared" si="4"/>
        <v>524.43877955174935</v>
      </c>
      <c r="G41" s="763">
        <f t="shared" ca="1" si="4"/>
        <v>4251.569209461124</v>
      </c>
      <c r="H41" s="763">
        <f t="shared" si="4"/>
        <v>0</v>
      </c>
      <c r="I41" s="763">
        <f t="shared" si="4"/>
        <v>0</v>
      </c>
      <c r="J41" s="763">
        <f t="shared" si="4"/>
        <v>0</v>
      </c>
      <c r="K41" s="763">
        <f t="shared" si="4"/>
        <v>48.174012480488727</v>
      </c>
      <c r="L41" s="763">
        <f t="shared" si="4"/>
        <v>0</v>
      </c>
      <c r="M41" s="763">
        <f t="shared" ca="1" si="4"/>
        <v>0</v>
      </c>
      <c r="N41" s="763">
        <f t="shared" si="4"/>
        <v>0</v>
      </c>
      <c r="O41" s="763">
        <f t="shared" ca="1" si="4"/>
        <v>0</v>
      </c>
      <c r="P41" s="763">
        <f t="shared" si="4"/>
        <v>0</v>
      </c>
      <c r="Q41" s="764">
        <f t="shared" si="4"/>
        <v>0</v>
      </c>
      <c r="R41" s="765">
        <f t="shared" ca="1" si="4"/>
        <v>47044.471763712252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418.75521442994193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418.75521442994193</v>
      </c>
    </row>
    <row r="45" spans="1:18" ht="15" thickBot="1">
      <c r="A45" s="888" t="s">
        <v>307</v>
      </c>
      <c r="B45" s="898"/>
      <c r="C45" s="727">
        <f ca="1">transport!B18</f>
        <v>10.913669342515469</v>
      </c>
      <c r="D45" s="727">
        <f>transport!C18</f>
        <v>0</v>
      </c>
      <c r="E45" s="727">
        <f>transport!D18</f>
        <v>22.466258625087587</v>
      </c>
      <c r="F45" s="727">
        <f>transport!E18</f>
        <v>99.197222228175292</v>
      </c>
      <c r="G45" s="727">
        <f>transport!F18</f>
        <v>0</v>
      </c>
      <c r="H45" s="727">
        <f>transport!G18</f>
        <v>60680.118776542004</v>
      </c>
      <c r="I45" s="727">
        <f>transport!H18</f>
        <v>7483.0774856686949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68295.773412406474</v>
      </c>
    </row>
    <row r="46" spans="1:18" ht="15.75" thickBot="1">
      <c r="A46" s="886" t="s">
        <v>230</v>
      </c>
      <c r="B46" s="899"/>
      <c r="C46" s="763">
        <f t="shared" ref="C46:R46" ca="1" si="5">SUM(C43:C45)</f>
        <v>10.913669342515469</v>
      </c>
      <c r="D46" s="763">
        <f t="shared" ca="1" si="5"/>
        <v>0</v>
      </c>
      <c r="E46" s="763">
        <f t="shared" si="5"/>
        <v>22.466258625087587</v>
      </c>
      <c r="F46" s="763">
        <f t="shared" si="5"/>
        <v>99.197222228175292</v>
      </c>
      <c r="G46" s="763">
        <f t="shared" si="5"/>
        <v>0</v>
      </c>
      <c r="H46" s="763">
        <f t="shared" si="5"/>
        <v>61098.873990971944</v>
      </c>
      <c r="I46" s="763">
        <f t="shared" si="5"/>
        <v>7483.0774856686949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68714.528626836414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119.73232592398381</v>
      </c>
      <c r="D48" s="718">
        <f ca="1">+landbouw!C12</f>
        <v>0</v>
      </c>
      <c r="E48" s="718">
        <f>+landbouw!D12</f>
        <v>809.98587775600004</v>
      </c>
      <c r="F48" s="718">
        <f>+landbouw!E12</f>
        <v>3.3209487576576819</v>
      </c>
      <c r="G48" s="718">
        <f>+landbouw!F12</f>
        <v>553.69538961916112</v>
      </c>
      <c r="H48" s="718">
        <f>+landbouw!G12</f>
        <v>0</v>
      </c>
      <c r="I48" s="718">
        <f>+landbouw!H12</f>
        <v>0</v>
      </c>
      <c r="J48" s="718">
        <f>+landbouw!I12</f>
        <v>0</v>
      </c>
      <c r="K48" s="718">
        <f>+landbouw!J12</f>
        <v>28.913750594416715</v>
      </c>
      <c r="L48" s="718">
        <f>+landbouw!K12</f>
        <v>0</v>
      </c>
      <c r="M48" s="718">
        <f>+landbouw!L12</f>
        <v>0</v>
      </c>
      <c r="N48" s="718">
        <f>+landbouw!M12</f>
        <v>0</v>
      </c>
      <c r="O48" s="718">
        <f>+landbouw!N12</f>
        <v>0</v>
      </c>
      <c r="P48" s="718">
        <f>+landbouw!O12</f>
        <v>0</v>
      </c>
      <c r="Q48" s="719">
        <f>+landbouw!P12</f>
        <v>0</v>
      </c>
      <c r="R48" s="761">
        <f ca="1">SUM(C48:Q48)</f>
        <v>1515.6482926512194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16377.39187830138</v>
      </c>
      <c r="D53" s="773">
        <f t="shared" ref="D53:Q53" ca="1" si="6">D41+D46+D48</f>
        <v>0</v>
      </c>
      <c r="E53" s="773">
        <f t="shared" ca="1" si="6"/>
        <v>26805.996015565092</v>
      </c>
      <c r="F53" s="773">
        <f t="shared" si="6"/>
        <v>626.95695053758232</v>
      </c>
      <c r="G53" s="773">
        <f t="shared" ca="1" si="6"/>
        <v>4805.2645990802848</v>
      </c>
      <c r="H53" s="773">
        <f t="shared" si="6"/>
        <v>61098.873990971944</v>
      </c>
      <c r="I53" s="773">
        <f t="shared" si="6"/>
        <v>7483.0774856686949</v>
      </c>
      <c r="J53" s="773">
        <f t="shared" si="6"/>
        <v>0</v>
      </c>
      <c r="K53" s="773">
        <f t="shared" si="6"/>
        <v>77.087763074905439</v>
      </c>
      <c r="L53" s="773">
        <f t="shared" si="6"/>
        <v>0</v>
      </c>
      <c r="M53" s="773">
        <f t="shared" ca="1" si="6"/>
        <v>0</v>
      </c>
      <c r="N53" s="773">
        <f t="shared" si="6"/>
        <v>0</v>
      </c>
      <c r="O53" s="773">
        <f t="shared" ca="1" si="6"/>
        <v>0</v>
      </c>
      <c r="P53" s="773">
        <f>P41+P46+P48</f>
        <v>0</v>
      </c>
      <c r="Q53" s="774">
        <f t="shared" si="6"/>
        <v>0</v>
      </c>
      <c r="R53" s="775">
        <f ca="1">R41+R46+R48</f>
        <v>117274.64868319989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0.21103854427194826</v>
      </c>
      <c r="D55" s="836">
        <f t="shared" ca="1" si="7"/>
        <v>0</v>
      </c>
      <c r="E55" s="836">
        <f t="shared" ca="1" si="7"/>
        <v>0.20200000000000001</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3497.9491671179721</v>
      </c>
      <c r="C66" s="795">
        <f>'lokale energieproductie'!B6</f>
        <v>3497.9491671179721</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3497.9491671179721</v>
      </c>
      <c r="C69" s="803">
        <f>SUM(C64:C68)</f>
        <v>3497.9491671179721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24801.705308029846</v>
      </c>
      <c r="C4" s="478">
        <f>huishoudens!C8</f>
        <v>0</v>
      </c>
      <c r="D4" s="478">
        <f>huishoudens!D8</f>
        <v>69923.400800000003</v>
      </c>
      <c r="E4" s="478">
        <f>huishoudens!E8</f>
        <v>459.47690071967565</v>
      </c>
      <c r="F4" s="478">
        <f>huishoudens!F8</f>
        <v>2577.8341232397124</v>
      </c>
      <c r="G4" s="478">
        <f>huishoudens!G8</f>
        <v>0</v>
      </c>
      <c r="H4" s="478">
        <f>huishoudens!H8</f>
        <v>0</v>
      </c>
      <c r="I4" s="478">
        <f>huishoudens!I8</f>
        <v>0</v>
      </c>
      <c r="J4" s="478">
        <f>huishoudens!J8</f>
        <v>0</v>
      </c>
      <c r="K4" s="478">
        <f>huishoudens!K8</f>
        <v>0</v>
      </c>
      <c r="L4" s="478">
        <f>huishoudens!L8</f>
        <v>0</v>
      </c>
      <c r="M4" s="478">
        <f>huishoudens!M8</f>
        <v>0</v>
      </c>
      <c r="N4" s="478">
        <f>huishoudens!N8</f>
        <v>3084.4147579894611</v>
      </c>
      <c r="O4" s="478">
        <f>huishoudens!O8</f>
        <v>118.81333333333333</v>
      </c>
      <c r="P4" s="479">
        <f>huishoudens!P8</f>
        <v>381.33333333333337</v>
      </c>
      <c r="Q4" s="480">
        <f>SUM(B4:P4)</f>
        <v>101346.97855664536</v>
      </c>
    </row>
    <row r="5" spans="1:17">
      <c r="A5" s="477" t="s">
        <v>156</v>
      </c>
      <c r="B5" s="478">
        <f ca="1">tertiair!B16</f>
        <v>34085.230726881993</v>
      </c>
      <c r="C5" s="478">
        <f ca="1">tertiair!C16</f>
        <v>0</v>
      </c>
      <c r="D5" s="478">
        <f ca="1">tertiair!D16</f>
        <v>38605.438542000004</v>
      </c>
      <c r="E5" s="478">
        <f>tertiair!E16</f>
        <v>715.74531281007989</v>
      </c>
      <c r="F5" s="478">
        <f ca="1">tertiair!F16</f>
        <v>8483.4003469225736</v>
      </c>
      <c r="G5" s="478">
        <f>tertiair!G16</f>
        <v>0</v>
      </c>
      <c r="H5" s="478">
        <f>tertiair!H16</f>
        <v>0</v>
      </c>
      <c r="I5" s="478">
        <f>tertiair!I16</f>
        <v>0</v>
      </c>
      <c r="J5" s="478">
        <f>tertiair!J16</f>
        <v>0</v>
      </c>
      <c r="K5" s="478">
        <f>tertiair!K16</f>
        <v>0</v>
      </c>
      <c r="L5" s="478">
        <f ca="1">tertiair!L16</f>
        <v>0</v>
      </c>
      <c r="M5" s="478">
        <f>tertiair!M16</f>
        <v>0</v>
      </c>
      <c r="N5" s="478">
        <f ca="1">tertiair!N16</f>
        <v>2291.1500085638841</v>
      </c>
      <c r="O5" s="478">
        <f>tertiair!O16</f>
        <v>0</v>
      </c>
      <c r="P5" s="479">
        <f>tertiair!P16</f>
        <v>38.133333333333333</v>
      </c>
      <c r="Q5" s="477">
        <f t="shared" ref="Q5:Q13" ca="1" si="0">SUM(B5:P5)</f>
        <v>84219.098270511851</v>
      </c>
    </row>
    <row r="6" spans="1:17">
      <c r="A6" s="477" t="s">
        <v>194</v>
      </c>
      <c r="B6" s="478">
        <f>'openbare verlichting'!B8</f>
        <v>939.11199999999997</v>
      </c>
      <c r="C6" s="478"/>
      <c r="D6" s="478"/>
      <c r="E6" s="478"/>
      <c r="F6" s="478"/>
      <c r="G6" s="478"/>
      <c r="H6" s="478"/>
      <c r="I6" s="478"/>
      <c r="J6" s="478"/>
      <c r="K6" s="478"/>
      <c r="L6" s="478"/>
      <c r="M6" s="478"/>
      <c r="N6" s="478"/>
      <c r="O6" s="478"/>
      <c r="P6" s="479"/>
      <c r="Q6" s="477">
        <f t="shared" si="0"/>
        <v>939.11199999999997</v>
      </c>
    </row>
    <row r="7" spans="1:17">
      <c r="A7" s="477" t="s">
        <v>112</v>
      </c>
      <c r="B7" s="478">
        <f>landbouw!B8</f>
        <v>567.34814171999994</v>
      </c>
      <c r="C7" s="478">
        <f>landbouw!C8</f>
        <v>0</v>
      </c>
      <c r="D7" s="478">
        <f>landbouw!D8</f>
        <v>4009.8310779999997</v>
      </c>
      <c r="E7" s="478">
        <f>landbouw!E8</f>
        <v>14.629730209945736</v>
      </c>
      <c r="F7" s="478">
        <f>landbouw!F8</f>
        <v>2073.7655041916146</v>
      </c>
      <c r="G7" s="478">
        <f>landbouw!G8</f>
        <v>0</v>
      </c>
      <c r="H7" s="478">
        <f>landbouw!H8</f>
        <v>0</v>
      </c>
      <c r="I7" s="478">
        <f>landbouw!I8</f>
        <v>0</v>
      </c>
      <c r="J7" s="478">
        <f>landbouw!J8</f>
        <v>81.677261566148914</v>
      </c>
      <c r="K7" s="478">
        <f>landbouw!K8</f>
        <v>0</v>
      </c>
      <c r="L7" s="478">
        <f>landbouw!L8</f>
        <v>0</v>
      </c>
      <c r="M7" s="478">
        <f>landbouw!M8</f>
        <v>0</v>
      </c>
      <c r="N7" s="478">
        <f>landbouw!N8</f>
        <v>0</v>
      </c>
      <c r="O7" s="478">
        <f>landbouw!O8</f>
        <v>0</v>
      </c>
      <c r="P7" s="479">
        <f>landbouw!P8</f>
        <v>0</v>
      </c>
      <c r="Q7" s="477">
        <f t="shared" si="0"/>
        <v>6747.2517156877084</v>
      </c>
    </row>
    <row r="8" spans="1:17">
      <c r="A8" s="477" t="s">
        <v>638</v>
      </c>
      <c r="B8" s="478">
        <f>industrie!B18</f>
        <v>17158.684489110001</v>
      </c>
      <c r="C8" s="478">
        <f>industrie!C18</f>
        <v>0</v>
      </c>
      <c r="D8" s="478">
        <f>industrie!D18</f>
        <v>20053.06105</v>
      </c>
      <c r="E8" s="478">
        <f>industrie!E18</f>
        <v>1135.0807800902855</v>
      </c>
      <c r="F8" s="478">
        <f>industrie!F18</f>
        <v>4862.2457150853697</v>
      </c>
      <c r="G8" s="478">
        <f>industrie!G18</f>
        <v>0</v>
      </c>
      <c r="H8" s="478">
        <f>industrie!H18</f>
        <v>0</v>
      </c>
      <c r="I8" s="478">
        <f>industrie!I18</f>
        <v>0</v>
      </c>
      <c r="J8" s="478">
        <f>industrie!J18</f>
        <v>136.08478101832975</v>
      </c>
      <c r="K8" s="478">
        <f>industrie!K18</f>
        <v>0</v>
      </c>
      <c r="L8" s="478">
        <f>industrie!L18</f>
        <v>0</v>
      </c>
      <c r="M8" s="478">
        <f>industrie!M18</f>
        <v>0</v>
      </c>
      <c r="N8" s="478">
        <f>industrie!N18</f>
        <v>4401.1700524581456</v>
      </c>
      <c r="O8" s="478">
        <f>industrie!O18</f>
        <v>0</v>
      </c>
      <c r="P8" s="479">
        <f>industrie!P18</f>
        <v>0</v>
      </c>
      <c r="Q8" s="477">
        <f t="shared" si="0"/>
        <v>47746.326867762131</v>
      </c>
    </row>
    <row r="9" spans="1:17" s="483" customFormat="1">
      <c r="A9" s="481" t="s">
        <v>564</v>
      </c>
      <c r="B9" s="482">
        <f>transport!B14</f>
        <v>51.714104549792133</v>
      </c>
      <c r="C9" s="482"/>
      <c r="D9" s="482">
        <f>transport!D14</f>
        <v>111.21910210439398</v>
      </c>
      <c r="E9" s="482">
        <f>transport!E14</f>
        <v>436.99216840605851</v>
      </c>
      <c r="F9" s="482"/>
      <c r="G9" s="482">
        <f>transport!G14</f>
        <v>227266.36245895881</v>
      </c>
      <c r="H9" s="482">
        <f>transport!H14</f>
        <v>30052.520022765842</v>
      </c>
      <c r="I9" s="482"/>
      <c r="J9" s="482"/>
      <c r="K9" s="482"/>
      <c r="L9" s="482"/>
      <c r="M9" s="482">
        <f>transport!M14</f>
        <v>8059.9853580491063</v>
      </c>
      <c r="N9" s="482"/>
      <c r="O9" s="482"/>
      <c r="P9" s="482"/>
      <c r="Q9" s="481">
        <f>SUM(B9:P9)</f>
        <v>265978.793214834</v>
      </c>
    </row>
    <row r="10" spans="1:17">
      <c r="A10" s="477" t="s">
        <v>554</v>
      </c>
      <c r="B10" s="478">
        <f>transport!B54</f>
        <v>0</v>
      </c>
      <c r="C10" s="478"/>
      <c r="D10" s="478">
        <f>transport!D54</f>
        <v>0</v>
      </c>
      <c r="E10" s="478"/>
      <c r="F10" s="478"/>
      <c r="G10" s="478">
        <f>transport!G54</f>
        <v>1568.3715896252506</v>
      </c>
      <c r="H10" s="478"/>
      <c r="I10" s="478"/>
      <c r="J10" s="478"/>
      <c r="K10" s="478"/>
      <c r="L10" s="478"/>
      <c r="M10" s="478">
        <f>transport!M54</f>
        <v>48.647377977347432</v>
      </c>
      <c r="N10" s="478"/>
      <c r="O10" s="478"/>
      <c r="P10" s="479"/>
      <c r="Q10" s="477">
        <f t="shared" si="0"/>
        <v>1617.018967602598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77603.794770291643</v>
      </c>
      <c r="C14" s="488">
        <f t="shared" ref="C14:Q14" ca="1" si="1">SUM(C4:C13)</f>
        <v>0</v>
      </c>
      <c r="D14" s="488">
        <f t="shared" ca="1" si="1"/>
        <v>132702.9505721044</v>
      </c>
      <c r="E14" s="488">
        <f t="shared" si="1"/>
        <v>2761.9248922360457</v>
      </c>
      <c r="F14" s="488">
        <f t="shared" ca="1" si="1"/>
        <v>17997.245689439271</v>
      </c>
      <c r="G14" s="488">
        <f t="shared" si="1"/>
        <v>228834.73404858407</v>
      </c>
      <c r="H14" s="488">
        <f t="shared" si="1"/>
        <v>30052.520022765842</v>
      </c>
      <c r="I14" s="488">
        <f t="shared" si="1"/>
        <v>0</v>
      </c>
      <c r="J14" s="488">
        <f t="shared" si="1"/>
        <v>217.76204258447865</v>
      </c>
      <c r="K14" s="488">
        <f t="shared" si="1"/>
        <v>0</v>
      </c>
      <c r="L14" s="488">
        <f t="shared" ca="1" si="1"/>
        <v>0</v>
      </c>
      <c r="M14" s="488">
        <f t="shared" si="1"/>
        <v>8108.632736026454</v>
      </c>
      <c r="N14" s="488">
        <f t="shared" ca="1" si="1"/>
        <v>9776.7348190114899</v>
      </c>
      <c r="O14" s="488">
        <f t="shared" si="1"/>
        <v>118.81333333333333</v>
      </c>
      <c r="P14" s="489">
        <f t="shared" si="1"/>
        <v>419.4666666666667</v>
      </c>
      <c r="Q14" s="489">
        <f t="shared" ca="1" si="1"/>
        <v>508594.57959304366</v>
      </c>
    </row>
    <row r="16" spans="1:17">
      <c r="A16" s="491" t="s">
        <v>559</v>
      </c>
      <c r="B16" s="841">
        <f ca="1">huishoudens!B10</f>
        <v>0.21103854427194829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5234.1157836684715</v>
      </c>
      <c r="C21" s="478">
        <f t="shared" ref="C21:C28" ca="1" si="3">C4*$C$16</f>
        <v>0</v>
      </c>
      <c r="D21" s="478">
        <f t="shared" ref="D21:D30" si="4">D4*$D$16</f>
        <v>14124.526961600002</v>
      </c>
      <c r="E21" s="478">
        <f t="shared" ref="E21:E30" si="5">E4*$E$16</f>
        <v>104.30125646336637</v>
      </c>
      <c r="F21" s="478">
        <f t="shared" ref="F21:F28" si="6">F4*$F$16</f>
        <v>688.28171090500325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20151.225712636846</v>
      </c>
    </row>
    <row r="22" spans="1:17">
      <c r="A22" s="477" t="s">
        <v>156</v>
      </c>
      <c r="B22" s="478">
        <f t="shared" ca="1" si="2"/>
        <v>7193.2974737746581</v>
      </c>
      <c r="C22" s="478">
        <f t="shared" ca="1" si="3"/>
        <v>0</v>
      </c>
      <c r="D22" s="478">
        <f t="shared" ca="1" si="4"/>
        <v>7798.2985854840008</v>
      </c>
      <c r="E22" s="478">
        <f t="shared" si="5"/>
        <v>162.47418600788814</v>
      </c>
      <c r="F22" s="478">
        <f t="shared" ca="1" si="6"/>
        <v>2265.0678926283272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17419.138137894875</v>
      </c>
    </row>
    <row r="23" spans="1:17">
      <c r="A23" s="477" t="s">
        <v>194</v>
      </c>
      <c r="B23" s="478">
        <f t="shared" ca="1" si="2"/>
        <v>198.18882938831788</v>
      </c>
      <c r="C23" s="478"/>
      <c r="D23" s="478"/>
      <c r="E23" s="478"/>
      <c r="F23" s="478"/>
      <c r="G23" s="478"/>
      <c r="H23" s="478"/>
      <c r="I23" s="478"/>
      <c r="J23" s="478"/>
      <c r="K23" s="478"/>
      <c r="L23" s="478"/>
      <c r="M23" s="478"/>
      <c r="N23" s="478"/>
      <c r="O23" s="478"/>
      <c r="P23" s="479"/>
      <c r="Q23" s="477">
        <f t="shared" ca="1" si="17"/>
        <v>198.18882938831788</v>
      </c>
    </row>
    <row r="24" spans="1:17">
      <c r="A24" s="477" t="s">
        <v>112</v>
      </c>
      <c r="B24" s="478">
        <f t="shared" ca="1" si="2"/>
        <v>119.73232592398381</v>
      </c>
      <c r="C24" s="478">
        <f t="shared" ca="1" si="3"/>
        <v>0</v>
      </c>
      <c r="D24" s="478">
        <f t="shared" si="4"/>
        <v>809.98587775600004</v>
      </c>
      <c r="E24" s="478">
        <f t="shared" si="5"/>
        <v>3.3209487576576819</v>
      </c>
      <c r="F24" s="478">
        <f t="shared" si="6"/>
        <v>553.69538961916112</v>
      </c>
      <c r="G24" s="478">
        <f t="shared" si="7"/>
        <v>0</v>
      </c>
      <c r="H24" s="478">
        <f t="shared" si="8"/>
        <v>0</v>
      </c>
      <c r="I24" s="478">
        <f t="shared" si="9"/>
        <v>0</v>
      </c>
      <c r="J24" s="478">
        <f t="shared" si="10"/>
        <v>28.913750594416715</v>
      </c>
      <c r="K24" s="478">
        <f t="shared" si="11"/>
        <v>0</v>
      </c>
      <c r="L24" s="478">
        <f t="shared" si="12"/>
        <v>0</v>
      </c>
      <c r="M24" s="478">
        <f t="shared" si="13"/>
        <v>0</v>
      </c>
      <c r="N24" s="478">
        <f t="shared" si="14"/>
        <v>0</v>
      </c>
      <c r="O24" s="478">
        <f t="shared" si="15"/>
        <v>0</v>
      </c>
      <c r="P24" s="479">
        <f t="shared" si="16"/>
        <v>0</v>
      </c>
      <c r="Q24" s="477">
        <f t="shared" ca="1" si="17"/>
        <v>1515.6482926512194</v>
      </c>
    </row>
    <row r="25" spans="1:17">
      <c r="A25" s="477" t="s">
        <v>638</v>
      </c>
      <c r="B25" s="478">
        <f t="shared" ca="1" si="2"/>
        <v>3621.1437962034333</v>
      </c>
      <c r="C25" s="478">
        <f t="shared" ca="1" si="3"/>
        <v>0</v>
      </c>
      <c r="D25" s="478">
        <f t="shared" si="4"/>
        <v>4050.7183321000002</v>
      </c>
      <c r="E25" s="478">
        <f t="shared" si="5"/>
        <v>257.66333708049484</v>
      </c>
      <c r="F25" s="478">
        <f t="shared" si="6"/>
        <v>1298.2196059277937</v>
      </c>
      <c r="G25" s="478">
        <f t="shared" si="7"/>
        <v>0</v>
      </c>
      <c r="H25" s="478">
        <f t="shared" si="8"/>
        <v>0</v>
      </c>
      <c r="I25" s="478">
        <f t="shared" si="9"/>
        <v>0</v>
      </c>
      <c r="J25" s="478">
        <f t="shared" si="10"/>
        <v>48.174012480488727</v>
      </c>
      <c r="K25" s="478">
        <f t="shared" si="11"/>
        <v>0</v>
      </c>
      <c r="L25" s="478">
        <f t="shared" si="12"/>
        <v>0</v>
      </c>
      <c r="M25" s="478">
        <f t="shared" si="13"/>
        <v>0</v>
      </c>
      <c r="N25" s="478">
        <f t="shared" si="14"/>
        <v>0</v>
      </c>
      <c r="O25" s="478">
        <f t="shared" si="15"/>
        <v>0</v>
      </c>
      <c r="P25" s="479">
        <f t="shared" si="16"/>
        <v>0</v>
      </c>
      <c r="Q25" s="477">
        <f t="shared" ca="1" si="17"/>
        <v>9275.9190837922106</v>
      </c>
    </row>
    <row r="26" spans="1:17" s="483" customFormat="1">
      <c r="A26" s="481" t="s">
        <v>564</v>
      </c>
      <c r="B26" s="835">
        <f t="shared" ca="1" si="2"/>
        <v>10.913669342515469</v>
      </c>
      <c r="C26" s="482"/>
      <c r="D26" s="482">
        <f t="shared" si="4"/>
        <v>22.466258625087587</v>
      </c>
      <c r="E26" s="482">
        <f t="shared" si="5"/>
        <v>99.197222228175292</v>
      </c>
      <c r="F26" s="482"/>
      <c r="G26" s="482">
        <f t="shared" si="7"/>
        <v>60680.118776542004</v>
      </c>
      <c r="H26" s="482">
        <f t="shared" si="8"/>
        <v>7483.0774856686949</v>
      </c>
      <c r="I26" s="482"/>
      <c r="J26" s="482"/>
      <c r="K26" s="482"/>
      <c r="L26" s="482"/>
      <c r="M26" s="482">
        <f t="shared" si="13"/>
        <v>0</v>
      </c>
      <c r="N26" s="482"/>
      <c r="O26" s="482"/>
      <c r="P26" s="493"/>
      <c r="Q26" s="481">
        <f t="shared" ca="1" si="17"/>
        <v>68295.773412406474</v>
      </c>
    </row>
    <row r="27" spans="1:17">
      <c r="A27" s="477" t="s">
        <v>554</v>
      </c>
      <c r="B27" s="478">
        <f t="shared" ca="1" si="2"/>
        <v>0</v>
      </c>
      <c r="C27" s="478"/>
      <c r="D27" s="482">
        <f t="shared" si="4"/>
        <v>0</v>
      </c>
      <c r="E27" s="478"/>
      <c r="F27" s="478"/>
      <c r="G27" s="478">
        <f t="shared" si="7"/>
        <v>418.75521442994193</v>
      </c>
      <c r="H27" s="478"/>
      <c r="I27" s="478"/>
      <c r="J27" s="478"/>
      <c r="K27" s="478"/>
      <c r="L27" s="478"/>
      <c r="M27" s="478">
        <f t="shared" si="13"/>
        <v>0</v>
      </c>
      <c r="N27" s="478"/>
      <c r="O27" s="478"/>
      <c r="P27" s="479"/>
      <c r="Q27" s="477">
        <f t="shared" ca="1" si="17"/>
        <v>418.75521442994193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16377.391878301381</v>
      </c>
      <c r="C31" s="488">
        <f t="shared" ca="1" si="18"/>
        <v>0</v>
      </c>
      <c r="D31" s="488">
        <f t="shared" ca="1" si="18"/>
        <v>26805.996015565092</v>
      </c>
      <c r="E31" s="488">
        <f t="shared" si="18"/>
        <v>626.95695053758232</v>
      </c>
      <c r="F31" s="488">
        <f t="shared" ca="1" si="18"/>
        <v>4805.2645990802857</v>
      </c>
      <c r="G31" s="488">
        <f t="shared" si="18"/>
        <v>61098.873990971944</v>
      </c>
      <c r="H31" s="488">
        <f t="shared" si="18"/>
        <v>7483.0774856686949</v>
      </c>
      <c r="I31" s="488">
        <f t="shared" si="18"/>
        <v>0</v>
      </c>
      <c r="J31" s="488">
        <f t="shared" si="18"/>
        <v>77.087763074905439</v>
      </c>
      <c r="K31" s="488">
        <f t="shared" si="18"/>
        <v>0</v>
      </c>
      <c r="L31" s="488">
        <f t="shared" ca="1" si="18"/>
        <v>0</v>
      </c>
      <c r="M31" s="488">
        <f t="shared" si="18"/>
        <v>0</v>
      </c>
      <c r="N31" s="488">
        <f t="shared" ca="1" si="18"/>
        <v>0</v>
      </c>
      <c r="O31" s="488">
        <f t="shared" si="18"/>
        <v>0</v>
      </c>
      <c r="P31" s="489">
        <f t="shared" si="18"/>
        <v>0</v>
      </c>
      <c r="Q31" s="489">
        <f t="shared" ca="1" si="18"/>
        <v>117274.64868319988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0.21103854427194829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0.21103854427194829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0.21103854427194829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2019-01-01T21:23:32Z</dcterms:modified>
</cp:coreProperties>
</file>