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L16" i="16"/>
  <c r="L18" s="1"/>
  <c r="L8" i="48" s="1"/>
  <c r="C13" i="15"/>
  <c r="C16" s="1"/>
  <c r="L6" i="17"/>
  <c r="L5"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L22" i="16"/>
  <c r="M39"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0" i="17" s="1"/>
  <c r="C12" s="1"/>
  <c r="D48" i="14" s="1"/>
  <c r="O14" i="48"/>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Q5" i="48"/>
  <c r="O13" i="14"/>
  <c r="O15" s="1"/>
  <c r="F22" i="16"/>
  <c r="G39" i="14" s="1"/>
  <c r="G41" s="1"/>
  <c r="N22" i="16"/>
  <c r="O39" i="14" s="1"/>
  <c r="O41" s="1"/>
  <c r="F8" i="48"/>
  <c r="Q4"/>
  <c r="N22"/>
  <c r="R11" i="14"/>
  <c r="J21" i="48"/>
  <c r="C10" i="13" l="1"/>
  <c r="C16" i="48" s="1"/>
  <c r="C25" s="1"/>
  <c r="C18" i="15"/>
  <c r="C20" s="1"/>
  <c r="D36" i="14" s="1"/>
  <c r="C20" i="16"/>
  <c r="C22" s="1"/>
  <c r="D39" i="14" s="1"/>
  <c r="C17" i="19"/>
  <c r="C19" s="1"/>
  <c r="D35" i="14" s="1"/>
  <c r="C29" i="20"/>
  <c r="C17" i="49"/>
  <c r="C56" i="22"/>
  <c r="C58" s="1"/>
  <c r="D44" i="14" s="1"/>
  <c r="D46"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21" i="48"/>
  <c r="R13" i="14"/>
  <c r="R15" s="1"/>
  <c r="F25" i="48"/>
  <c r="F31" s="1"/>
  <c r="F14"/>
  <c r="C12" i="13" l="1"/>
  <c r="D37" i="14" s="1"/>
  <c r="D41" s="1"/>
  <c r="C24" i="48"/>
  <c r="C22"/>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<sst xmlns="http://schemas.openxmlformats.org/spreadsheetml/2006/main" count="2146" uniqueCount="877">
  <si>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</si>
  <si>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</si>
  <si>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</si>
  <si>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</si>
  <si>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</si>
  <si>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</si>
  <si>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</si>
  <si>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</si>
  <si>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</si>
  <si>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</si>
  <si>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</si>
  <si>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</si>
  <si>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</si>
  <si>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</si>
  <si>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</si>
  <si>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</si>
  <si>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</si>
  <si>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</si>
  <si>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</si>
  <si>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</si>
  <si>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</si>
  <si>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</si>
  <si>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</si>
  <si>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</si>
  <si>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</si>
  <si>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</si>
  <si>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</si>
  <si>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</si>
  <si>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</si>
  <si>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</si>
  <si>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</si>
  <si>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</si>
  <si>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</si>
  <si>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</si>
  <si>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</si>
  <si>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</si>
  <si>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</si>
  <si>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</si>
  <si>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</si>
  <si>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</si>
  <si>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</si>
  <si>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</si>
  <si>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</si>
  <si>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</si>
  <si>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</si>
  <si>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</si>
  <si>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</si>
  <si>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</si>
  <si>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</si>
  <si>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</si>
  <si>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</si>
  <si>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</si>
  <si>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</si>
  <si>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</si>
  <si>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</si>
  <si>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</si>
  <si>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</si>
  <si>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</si>
  <si>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</si>
  <si>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</si>
  <si>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</si>
  <si>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</si>
  <si>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</si>
  <si>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</si>
  <si>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</si>
  <si>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</si>
  <si>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</si>
  <si>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</si>
  <si>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</si>
  <si>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</si>
  <si>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</si>
  <si>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</si>
  <si>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</si>
  <si>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</si>
  <si>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</si>
  <si>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</si>
  <si>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</si>
  <si>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</si>
  <si>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</si>
  <si>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</si>
  <si>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</si>
  <si>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</si>
  <si>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</si>
  <si>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</si>
  <si>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</si>
  <si>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</si>
  <si>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</si>
  <si>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</si>
  <si>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</si>
  <si>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</si>
  <si>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</si>
  <si>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</si>
  <si>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</si>
  <si>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</si>
  <si>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</si>
  <si>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</si>
  <si>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</si>
  <si>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</si>
  <si>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</si>
  <si>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</si>
  <si>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</si>
  <si>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</si>
  <si>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</si>
  <si>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</si>
  <si>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</si>
  <si>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</si>
  <si>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</si>
  <si>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</si>
  <si>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</si>
  <si>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</si>
  <si>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</si>
  <si>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</si>
  <si>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</si>
  <si>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</si>
  <si>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</si>
  <si>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</si>
  <si>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</si>
  <si>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</si>
  <si>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</si>
  <si>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</si>
  <si>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</si>
  <si>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</si>
  <si>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</si>
  <si>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</si>
  <si>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</si>
  <si>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</si>
  <si>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</si>
  <si>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</si>
  <si>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</si>
  <si>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</si>
  <si>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</si>
  <si>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</si>
  <si>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</si>
  <si>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</si>
  <si>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</si>
  <si>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</si>
  <si>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</si>
  <si>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</si>
  <si>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</si>
  <si>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</si>
  <si>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</si>
  <si>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</si>
  <si>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</si>
  <si>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</si>
  <si>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</si>
  <si>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</si>
  <si>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</si>
  <si>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</si>
  <si>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</si>
  <si>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</si>
  <si>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</si>
  <si>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</si>
  <si>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</si>
  <si>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</si>
  <si>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</si>
  <si>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</si>
  <si>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</si>
  <si>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</si>
  <si>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</si>
  <si>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</si>
  <si>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</si>
  <si>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</si>
  <si>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</si>
  <si>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</si>
  <si>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</si>
  <si>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</si>
  <si>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</si>
  <si>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</si>
  <si>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</si>
  <si>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</si>
  <si>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</si>
  <si>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</si>
  <si>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</si>
  <si>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</si>
  <si>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</si>
  <si>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</si>
  <si>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</si>
  <si>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</si>
  <si>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</si>
  <si>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</si>
  <si>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</si>
  <si>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</si>
  <si>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</si>
  <si>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</si>
  <si>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</si>
  <si>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</si>
  <si>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</si>
  <si>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</si>
  <si>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</si>
  <si>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</si>
  <si>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</si>
  <si>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</si>
  <si>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</si>
  <si>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</si>
  <si>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</si>
  <si>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</si>
  <si>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</si>
  <si>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</si>
  <si>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</si>
  <si>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</si>
  <si>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</si>
  <si>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</si>
  <si>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</si>
  <si>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</si>
  <si>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</si>
  <si>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</si>
  <si>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</si>
  <si>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</si>
  <si>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</si>
  <si>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</si>
  <si>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</si>
  <si>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</si>
  <si>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</si>
  <si>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</si>
  <si>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</si>
  <si>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</si>
  <si>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</si>
  <si>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</si>
  <si>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</si>
  <si>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</si>
  <si>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</si>
  <si>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</si>
  <si>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</si>
  <si>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</si>
  <si>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</si>
  <si>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</si>
  <si>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</si>
  <si>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</si>
  <si>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</si>
  <si>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</si>
  <si>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</si>
  <si>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</si>
  <si>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</si>
  <si>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</si>
  <si>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</si>
  <si>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</si>
  <si>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</si>
  <si>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</si>
  <si>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</si>
  <si>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</si>
  <si>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</si>
  <si>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</si>
  <si>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</si>
  <si>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</si>
  <si>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</si>
  <si>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</si>
  <si>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</si>
  <si>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</si>
  <si>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</si>
  <si>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</si>
  <si>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</si>
  <si>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</si>
  <si>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</si>
  <si>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</si>
  <si>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</si>
  <si>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</si>
  <si>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</si>
  <si>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</si>
  <si>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</si>
  <si>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</si>
  <si>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</si>
  <si>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</si>
  <si>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</si>
  <si>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</si>
  <si>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</si>
  <si>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</si>
  <si>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</si>
  <si>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</si>
  <si>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</si>
  <si>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</si>
  <si>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</si>
  <si>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</si>
  <si>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</si>
  <si>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</si>
  <si>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</si>
  <si>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</si>
  <si>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</si>
  <si>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</si>
  <si>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</si>
  <si>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</si>
  <si>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</si>
  <si>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</si>
  <si>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</si>
  <si>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</si>
  <si>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</si>
  <si>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</si>
  <si>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</si>
  <si>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</si>
  <si>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</si>
  <si>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</si>
  <si>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</si>
  <si>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</si>
  <si>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</si>
  <si>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</si>
  <si>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</si>
  <si>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</si>
  <si>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</si>
  <si>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</si>
  <si>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</si>
  <si>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</si>
  <si>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</si>
  <si>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</si>
  <si>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</si>
  <si>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</si>
  <si>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</si>
  <si>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</si>
  <si>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</si>
  <si>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</si>
  <si>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</si>
  <si>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</si>
  <si>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</si>
  <si>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</si>
  <si>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</si>
  <si>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</si>
  <si>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</si>
  <si>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</si>
  <si>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</si>
  <si>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</si>
  <si>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</si>
  <si>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</si>
  <si>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</si>
  <si>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</si>
  <si>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</si>
  <si>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</si>
  <si>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</si>
  <si>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</si>
  <si>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</si>
  <si>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</si>
  <si>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</si>
  <si>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</si>
  <si>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</si>
  <si>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</si>
  <si>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</si>
  <si>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</si>
  <si>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</si>
  <si>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</si>
  <si>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</si>
  <si>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</si>
  <si>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</si>
  <si>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</si>
  <si>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</si>
  <si>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</si>
  <si>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</si>
  <si>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</si>
  <si>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</si>
  <si>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</si>
  <si>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</si>
  <si>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</si>
  <si>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</si>
  <si>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</si>
  <si>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</si>
  <si>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</si>
  <si>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</si>
  <si>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</si>
  <si>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</si>
  <si>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</si>
  <si>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</si>
  <si>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</si>
  <si>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</si>
  <si>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</si>
  <si>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</si>
  <si>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</si>
  <si>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</si>
  <si>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</si>
  <si>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</si>
  <si>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</si>
  <si>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</si>
  <si>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</si>
  <si>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</si>
  <si>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</si>
  <si>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</si>
  <si>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</si>
  <si>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</si>
  <si>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</si>
  <si>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</si>
  <si>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</si>
  <si>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</si>
  <si>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</si>
  <si>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</si>
  <si>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</si>
  <si>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</si>
  <si>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</si>
  <si>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</si>
  <si>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</si>
  <si>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</si>
  <si>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</si>
  <si>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</si>
  <si>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</si>
  <si>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</si>
  <si>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</si>
  <si>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</si>
  <si>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</si>
  <si>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</si>
  <si>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</si>
  <si>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</si>
  <si>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</si>
  <si>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</si>
  <si>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</si>
  <si>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</si>
  <si>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</si>
  <si>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</si>
  <si>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</si>
  <si>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</si>
  <si>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</si>
  <si>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</si>
  <si>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</si>
  <si>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</si>
  <si>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</si>
  <si>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</si>
  <si>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</si>
  <si>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</si>
  <si>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</si>
  <si>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</si>
  <si>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</si>
  <si>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</si>
  <si>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</si>
  <si>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</si>
  <si>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</si>
  <si>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</si>
  <si>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</si>
  <si>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</si>
  <si>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</si>
  <si>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</si>
  <si>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</si>
  <si>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</si>
  <si>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</si>
  <si>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</si>
  <si>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</si>
  <si>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</si>
  <si>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</si>
  <si>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</si>
  <si>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</si>
  <si>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</si>
  <si>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</si>
  <si>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</si>
  <si>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</si>
  <si>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</si>
  <si>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</si>
  <si>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</si>
  <si>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</si>
  <si>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</si>
  <si>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</si>
  <si>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</si>
  <si>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</si>
  <si>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</si>
  <si>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</si>
  <si>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</si>
  <si>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</si>
  <si>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</si>
  <si>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</si>
  <si>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</si>
  <si>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</si>
  <si>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</si>
  <si>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</si>
  <si>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</si>
  <si>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</si>
  <si>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</si>
  <si>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</si>
  <si>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</si>
  <si>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</si>
  <si>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</si>
  <si>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</si>
  <si>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</si>
  <si>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</si>
  <si>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</si>
  <si>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</si>
  <si>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</si>
  <si>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</si>
  <si>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</si>
  <si>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</si>
  <si>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</si>
  <si>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</si>
  <si>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</si>
  <si>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</si>
  <si>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</si>
  <si>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</si>
  <si>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</si>
  <si>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</si>
  <si>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</si>
  <si>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</si>
  <si>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</si>
  <si>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</si>
  <si>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</si>
  <si>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</si>
  <si>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</si>
  <si>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</si>
  <si>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</si>
  <si>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</si>
  <si>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</si>
  <si>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</si>
  <si>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</si>
  <si>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</si>
  <si>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</si>
  <si>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</si>
  <si>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</si>
  <si>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</si>
  <si>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</si>
  <si>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</si>
  <si>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</si>
  <si>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</si>
  <si>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</si>
  <si>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</si>
  <si>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</si>
  <si>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</si>
  <si>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</si>
  <si>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</si>
  <si>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</si>
  <si>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</si>
  <si>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</si>
  <si>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</si>
  <si>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</si>
  <si>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</si>
  <si>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</si>
  <si>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</si>
  <si>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</si>
  <si>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</si>
  <si>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</si>
  <si>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</si>
  <si>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</si>
  <si>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</si>
  <si>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</si>
  <si>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</si>
  <si>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</si>
  <si>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</si>
  <si>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</si>
  <si>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</si>
  <si>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</si>
  <si>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</si>
  <si>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</si>
  <si>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</si>
  <si>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</si>
  <si>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</si>
  <si>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</si>
  <si>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</si>
  <si>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</si>
  <si>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</si>
  <si>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</si>
  <si>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</si>
  <si>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</si>
  <si>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</si>
  <si>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</si>
  <si>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</si>
  <si>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</si>
  <si>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</si>
  <si>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</si>
  <si>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</si>
  <si>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</si>
  <si>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</si>
  <si>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</si>
  <si>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</si>
  <si>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</si>
  <si>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</si>
  <si>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</si>
  <si>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</si>
  <si>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</si>
  <si>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</si>
  <si>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</si>
  <si>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</si>
  <si>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</si>
  <si>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</si>
  <si>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</si>
  <si>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</si>
  <si>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</si>
  <si>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</si>
  <si>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</si>
  <si>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</si>
  <si>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</si>
  <si>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</si>
  <si>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</si>
  <si>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</si>
  <si>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</si>
  <si>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</si>
  <si>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</si>
  <si>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</si>
  <si>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</si>
  <si>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</si>
  <si>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</si>
  <si>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</si>
  <si>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</si>
  <si>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</si>
  <si>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</si>
  <si>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</si>
  <si>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</si>
  <si>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</si>
  <si>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</si>
  <si>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</si>
  <si>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</si>
  <si>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</si>
  <si>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</si>
  <si>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</si>
  <si>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</si>
  <si>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</si>
  <si>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</si>
  <si>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</si>
  <si>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</si>
  <si>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</si>
  <si>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</si>
  <si>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</si>
  <si>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</si>
  <si>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</si>
  <si>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</si>
  <si>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</si>
  <si>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</si>
  <si>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</si>
  <si>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</si>
  <si>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</si>
  <si>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</si>
  <si>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</si>
  <si>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</si>
  <si>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</si>
  <si>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</si>
  <si>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</si>
  <si>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</si>
  <si>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</si>
  <si>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</si>
  <si>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</si>
  <si>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</si>
  <si>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</si>
  <si>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</si>
  <si>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</si>
  <si>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</si>
  <si>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</si>
  <si>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</si>
  <si>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</si>
  <si>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</si>
  <si>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</si>
  <si>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</si>
  <si>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</si>
  <si>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</si>
  <si>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</si>
  <si>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</si>
  <si>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</si>
  <si>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</si>
  <si>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</si>
  <si>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</si>
  <si>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</si>
  <si>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</si>
  <si>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</si>
  <si>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</si>
  <si>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</si>
  <si>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</si>
  <si>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</si>
  <si>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</si>
  <si>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</si>
  <si>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</si>
  <si>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</si>
  <si>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</si>
  <si>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</si>
  <si>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</si>
  <si>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</si>
  <si>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</si>
  <si>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</si>
  <si>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</si>
  <si>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</si>
  <si>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</si>
  <si>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</si>
  <si>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</si>
  <si>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</si>
  <si>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</si>
  <si>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</si>
  <si>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</si>
  <si>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</si>
  <si>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</si>
  <si>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</si>
  <si>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</si>
  <si>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</si>
  <si>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</si>
  <si>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</si>
  <si>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</si>
  <si>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</si>
  <si>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</si>
  <si>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</si>
  <si>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</si>
  <si>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</si>
  <si>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</si>
  <si>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</si>
  <si>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</si>
  <si>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</si>
  <si>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</si>
  <si>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</si>
  <si>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</si>
  <si>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</si>
  <si>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</si>
  <si>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</si>
  <si>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</si>
  <si>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</si>
  <si>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</si>
  <si>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</si>
  <si>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</si>
  <si>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</si>
  <si>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</si>
  <si>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</si>
  <si>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</si>
  <si>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</si>
  <si>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</si>
  <si>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</si>
  <si>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</si>
  <si>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</si>
  <si>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</si>
  <si>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</si>
  <si>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</si>
  <si>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</si>
  <si>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</si>
  <si>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</si>
  <si>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</si>
  <si>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</si>
  <si>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</si>
  <si>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</si>
  <si>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</si>
  <si>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</si>
  <si>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</si>
  <si>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</si>
  <si>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</si>
  <si>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</si>
  <si>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</si>
  <si>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</si>
  <si>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</si>
  <si>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</si>
  <si>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</si>
  <si>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</si>
  <si>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</si>
  <si>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</si>
  <si>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</si>
  <si>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</si>
  <si>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</si>
  <si>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</si>
  <si>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</si>
  <si>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</si>
  <si>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</si>
  <si>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</si>
  <si>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</si>
  <si>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</si>
  <si>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</si>
  <si>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</si>
  <si>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</si>
  <si>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</si>
  <si>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</si>
  <si>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</si>
  <si>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</si>
  <si>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</si>
  <si>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</si>
  <si>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</si>
  <si>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</si>
  <si>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</si>
  <si>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</si>
  <si>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</si>
  <si>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</si>
  <si>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</si>
  <si>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</si>
  <si>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</si>
  <si>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</si>
  <si>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</si>
  <si>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</si>
  <si>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</si>
  <si>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</si>
  <si>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</si>
  <si>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</si>
  <si>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</si>
  <si>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</si>
  <si>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</si>
  <si>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</si>
  <si>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</si>
  <si>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</si>
  <si>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</si>
  <si>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</si>
  <si>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</si>
  <si>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</si>
  <si>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</si>
  <si>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</si>
  <si>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</si>
  <si>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</si>
  <si>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</si>
  <si>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</si>
  <si>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</si>
  <si>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</si>
  <si>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</si>
  <si>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</si>
  <si>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</si>
  <si>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</si>
  <si>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</si>
  <si>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</si>
  <si>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</si>
  <si>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</si>
  <si>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</si>
  <si>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</si>
  <si>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</si>
  <si>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</si>
  <si>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</si>
  <si>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</si>
  <si>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</si>
  <si>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</si>
  <si>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</si>
  <si>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</si>
  <si>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</si>
  <si>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</si>
  <si>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</si>
  <si>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</si>
  <si>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</si>
  <si>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</si>
  <si>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</si>
  <si>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</si>
  <si>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</si>
  <si>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</si>
  <si>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</si>
  <si>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</si>
  <si>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</si>
  <si>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</si>
  <si>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</si>
  <si>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</si>
  <si>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</si>
  <si>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</si>
  <si>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</si>
  <si>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</si>
  <si>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</si>
  <si>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</si>
  <si>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</si>
  <si>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</si>
  <si>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</si>
  <si>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</si>
  <si>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</si>
  <si>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</si>
  <si>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</si>
  <si>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</si>
  <si>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</si>
  <si>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</si>
  <si>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</si>
  <si>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</si>
  <si>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</si>
  <si>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</si>
  <si>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</si>
  <si>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</si>
  <si>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</si>
  <si>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</si>
  <si>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</si>
  <si>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</si>
  <si>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</si>
  <si>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</si>
  <si>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</si>
  <si>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</si>
  <si>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</si>
  <si>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</si>
  <si>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</si>
  <si>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</si>
  <si>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</si>
  <si>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</si>
  <si>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</si>
  <si>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</si>
  <si>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</si>
  <si>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</si>
  <si>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</si>
  <si>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</si>
  <si>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</si>
  <si>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</si>
  <si>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</si>
  <si>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</si>
  <si>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</si>
  <si>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</si>
  <si>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</si>
  <si>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</si>
  <si>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</si>
  <si>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</si>
  <si>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</si>
  <si>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</si>
  <si>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72030</t>
  </si>
  <si>
    <t>PEER</t>
  </si>
  <si>
    <t>Paarden&amp;pony's 200 - 600 kg</t>
  </si>
  <si>
    <t>Paarden&amp;pony's &lt; 200 kg</t>
  </si>
  <si>
    <t>referentietaak LNE (2017); Jaarverslag De Lijn (2014)</t>
  </si>
  <si>
    <t>op basis van VEA (maart 2018) en Inventaris Hernieuwbare Energiebronnen (juni 2018)</t>
  </si>
  <si>
    <t>VEA (maart 2016)</t>
  </si>
  <si>
    <t>VEA (juni 2018)</t>
  </si>
  <si>
    <t>Wim Clijsters</t>
  </si>
  <si>
    <t>Knaapstraat 2 , 3990 Peer</t>
  </si>
  <si>
    <t>WKK-0499 Wim Clijsters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</si>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</sst>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143991.42511007542</c:v>
                </c:pt>
                <c:pt idx="1">
                  <c:v>66235.158256189708</c:v>
                </c:pt>
                <c:pt idx="2">
                  <c:v>1062.6179999999999</c:v>
                </c:pt>
                <c:pt idx="3">
                  <c:v>14242.551417098561</c:v>
                </c:pt>
                <c:pt idx="4">
                  <c:v>22843.176528415792</c:v>
                </c:pt>
                <c:pt idx="5">
                  <c:v>106925.89714387945</c:v>
                </c:pt>
                <c:pt idx="6">
                  <c:v>2781.8833808979794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143991.42511007542</c:v>
                </c:pt>
                <c:pt idx="1">
                  <c:v>66235.158256189708</c:v>
                </c:pt>
                <c:pt idx="2">
                  <c:v>1062.6179999999999</c:v>
                </c:pt>
                <c:pt idx="3">
                  <c:v>14242.551417098561</c:v>
                </c:pt>
                <c:pt idx="4">
                  <c:v>22843.176528415792</c:v>
                </c:pt>
                <c:pt idx="5">
                  <c:v>106925.89714387945</c:v>
                </c:pt>
                <c:pt idx="6">
                  <c:v>2781.8833808979794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28418.799685138983</c:v>
                </c:pt>
                <c:pt idx="1">
                  <c:v>12875.015088484488</c:v>
                </c:pt>
                <c:pt idx="2">
                  <c:v>201.74040639303544</c:v>
                </c:pt>
                <c:pt idx="3">
                  <c:v>3534.2626428064368</c:v>
                </c:pt>
                <c:pt idx="4">
                  <c:v>4284.5548631446063</c:v>
                </c:pt>
                <c:pt idx="5">
                  <c:v>26769.275179553035</c:v>
                </c:pt>
                <c:pt idx="6">
                  <c:v>702.69047345217029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78944"/>
      </c:barChart>
      <c:catAx>
        <c:axId val="18011980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28418.799685138983</c:v>
                </c:pt>
                <c:pt idx="1">
                  <c:v>12875.015088484488</c:v>
                </c:pt>
                <c:pt idx="2">
                  <c:v>201.74040639303544</c:v>
                </c:pt>
                <c:pt idx="3">
                  <c:v>3534.2626428064368</c:v>
                </c:pt>
                <c:pt idx="4">
                  <c:v>4284.5548631446063</c:v>
                </c:pt>
                <c:pt idx="5">
                  <c:v>26769.275179553035</c:v>
                </c:pt>
                <c:pt idx="6">
                  <c:v>702.69047345217029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72030</v>
      </c>
      <c r="B6" s="416"/>
      <c r="C6" s="417"/>
    </row>
    <row r="7" spans="1:7" s="414" customFormat="1" ht="15.75" customHeight="1">
      <c r="A7" s="418" t="str">
        <f>txtMunicipality</f>
        <v>PEER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6434</v>
      </c>
      <c r="C9" s="342">
        <v>6709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5188</v>
      </c>
    </row>
    <row r="15" spans="1:6">
      <c r="A15" s="348" t="s">
        <v>184</v>
      </c>
      <c r="B15" s="334">
        <v>1369</v>
      </c>
    </row>
    <row r="16" spans="1:6">
      <c r="A16" s="348" t="s">
        <v>6</v>
      </c>
      <c r="B16" s="334">
        <v>4095</v>
      </c>
    </row>
    <row r="17" spans="1:6">
      <c r="A17" s="348" t="s">
        <v>7</v>
      </c>
      <c r="B17" s="334">
        <v>647</v>
      </c>
    </row>
    <row r="18" spans="1:6">
      <c r="A18" s="348" t="s">
        <v>8</v>
      </c>
      <c r="B18" s="334">
        <v>2323</v>
      </c>
    </row>
    <row r="19" spans="1:6">
      <c r="A19" s="348" t="s">
        <v>9</v>
      </c>
      <c r="B19" s="334">
        <v>2061</v>
      </c>
    </row>
    <row r="20" spans="1:6">
      <c r="A20" s="348" t="s">
        <v>10</v>
      </c>
      <c r="B20" s="334">
        <v>1488</v>
      </c>
    </row>
    <row r="21" spans="1:6">
      <c r="A21" s="348" t="s">
        <v>11</v>
      </c>
      <c r="B21" s="334">
        <v>7555</v>
      </c>
    </row>
    <row r="22" spans="1:6">
      <c r="A22" s="348" t="s">
        <v>12</v>
      </c>
      <c r="B22" s="334">
        <v>22359</v>
      </c>
    </row>
    <row r="23" spans="1:6">
      <c r="A23" s="348" t="s">
        <v>13</v>
      </c>
      <c r="B23" s="334">
        <v>858</v>
      </c>
    </row>
    <row r="24" spans="1:6">
      <c r="A24" s="348" t="s">
        <v>14</v>
      </c>
      <c r="B24" s="334">
        <v>26</v>
      </c>
    </row>
    <row r="25" spans="1:6">
      <c r="A25" s="348" t="s">
        <v>15</v>
      </c>
      <c r="B25" s="334">
        <v>4177</v>
      </c>
    </row>
    <row r="26" spans="1:6">
      <c r="A26" s="348" t="s">
        <v>16</v>
      </c>
      <c r="B26" s="334">
        <v>195</v>
      </c>
    </row>
    <row r="27" spans="1:6">
      <c r="A27" s="348" t="s">
        <v>17</v>
      </c>
      <c r="B27" s="334">
        <v>1213</v>
      </c>
    </row>
    <row r="28" spans="1:6" s="356" customFormat="1">
      <c r="A28" s="355" t="s">
        <v>18</v>
      </c>
      <c r="B28" s="355">
        <v>310669</v>
      </c>
    </row>
    <row r="29" spans="1:6">
      <c r="A29" s="355" t="s">
        <v>865</v>
      </c>
      <c r="B29" s="355">
        <v>474</v>
      </c>
      <c r="C29" s="356"/>
      <c r="D29" s="356"/>
      <c r="E29" s="356"/>
      <c r="F29" s="356"/>
    </row>
    <row r="30" spans="1:6">
      <c r="A30" s="341" t="s">
        <v>866</v>
      </c>
      <c r="B30" s="341">
        <v>95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5799</v>
      </c>
    </row>
    <row r="36" spans="1:6">
      <c r="A36" s="348" t="s">
        <v>25</v>
      </c>
      <c r="B36" s="348" t="s">
        <v>27</v>
      </c>
      <c r="C36" s="334">
        <v>0</v>
      </c>
      <c r="D36" s="334">
        <v>0</v>
      </c>
      <c r="E36" s="334">
        <v>16</v>
      </c>
      <c r="F36" s="334">
        <v>17028</v>
      </c>
    </row>
    <row r="37" spans="1:6">
      <c r="A37" s="348" t="s">
        <v>25</v>
      </c>
      <c r="B37" s="348" t="s">
        <v>28</v>
      </c>
      <c r="C37" s="334">
        <v>0</v>
      </c>
      <c r="D37" s="334">
        <v>0</v>
      </c>
      <c r="E37" s="334">
        <v>0</v>
      </c>
      <c r="F37" s="334">
        <v>0</v>
      </c>
    </row>
    <row r="38" spans="1:6">
      <c r="A38" s="348" t="s">
        <v>25</v>
      </c>
      <c r="B38" s="348" t="s">
        <v>29</v>
      </c>
      <c r="C38" s="334">
        <v>2</v>
      </c>
      <c r="D38" s="334">
        <v>283860</v>
      </c>
      <c r="E38" s="334">
        <v>0</v>
      </c>
      <c r="F38" s="334">
        <v>0</v>
      </c>
    </row>
    <row r="39" spans="1:6">
      <c r="A39" s="348" t="s">
        <v>30</v>
      </c>
      <c r="B39" s="348" t="s">
        <v>31</v>
      </c>
      <c r="C39" s="334">
        <v>2939</v>
      </c>
      <c r="D39" s="334">
        <v>46116344</v>
      </c>
      <c r="E39" s="334">
        <v>6381</v>
      </c>
      <c r="F39" s="334">
        <v>23044066</v>
      </c>
    </row>
    <row r="40" spans="1:6">
      <c r="A40" s="348" t="s">
        <v>30</v>
      </c>
      <c r="B40" s="348" t="s">
        <v>29</v>
      </c>
      <c r="C40" s="334">
        <v>0</v>
      </c>
      <c r="D40" s="334">
        <v>0</v>
      </c>
      <c r="E40" s="334">
        <v>0</v>
      </c>
      <c r="F40" s="334">
        <v>0</v>
      </c>
    </row>
    <row r="41" spans="1:6">
      <c r="A41" s="348" t="s">
        <v>32</v>
      </c>
      <c r="B41" s="348" t="s">
        <v>33</v>
      </c>
      <c r="C41" s="334">
        <v>53</v>
      </c>
      <c r="D41" s="334">
        <v>1725844</v>
      </c>
      <c r="E41" s="334">
        <v>131</v>
      </c>
      <c r="F41" s="334">
        <v>2074747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232765</v>
      </c>
      <c r="E44" s="334">
        <v>19</v>
      </c>
      <c r="F44" s="334">
        <v>285444</v>
      </c>
    </row>
    <row r="45" spans="1:6">
      <c r="A45" s="348" t="s">
        <v>32</v>
      </c>
      <c r="B45" s="348" t="s">
        <v>37</v>
      </c>
      <c r="C45" s="334">
        <v>0</v>
      </c>
      <c r="D45" s="334">
        <v>0</v>
      </c>
      <c r="E45" s="334">
        <v>4</v>
      </c>
      <c r="F45" s="334">
        <v>184514</v>
      </c>
    </row>
    <row r="46" spans="1:6">
      <c r="A46" s="348" t="s">
        <v>32</v>
      </c>
      <c r="B46" s="348" t="s">
        <v>38</v>
      </c>
      <c r="C46" s="334">
        <v>0</v>
      </c>
      <c r="D46" s="334">
        <v>0</v>
      </c>
      <c r="E46" s="334">
        <v>0</v>
      </c>
      <c r="F46" s="334">
        <v>0</v>
      </c>
    </row>
    <row r="47" spans="1:6">
      <c r="A47" s="348" t="s">
        <v>32</v>
      </c>
      <c r="B47" s="348" t="s">
        <v>39</v>
      </c>
      <c r="C47" s="334">
        <v>14</v>
      </c>
      <c r="D47" s="334">
        <v>1164039</v>
      </c>
      <c r="E47" s="334">
        <v>5</v>
      </c>
      <c r="F47" s="334">
        <v>1850843</v>
      </c>
    </row>
    <row r="48" spans="1:6">
      <c r="A48" s="348" t="s">
        <v>32</v>
      </c>
      <c r="B48" s="348" t="s">
        <v>29</v>
      </c>
      <c r="C48" s="334">
        <v>3</v>
      </c>
      <c r="D48" s="334">
        <v>562762</v>
      </c>
      <c r="E48" s="334">
        <v>3</v>
      </c>
      <c r="F48" s="334">
        <v>139566</v>
      </c>
    </row>
    <row r="49" spans="1:6">
      <c r="A49" s="348" t="s">
        <v>32</v>
      </c>
      <c r="B49" s="348" t="s">
        <v>40</v>
      </c>
      <c r="C49" s="334">
        <v>0</v>
      </c>
      <c r="D49" s="334">
        <v>0</v>
      </c>
      <c r="E49" s="334">
        <v>7</v>
      </c>
      <c r="F49" s="334">
        <v>9724498</v>
      </c>
    </row>
    <row r="50" spans="1:6">
      <c r="A50" s="348" t="s">
        <v>32</v>
      </c>
      <c r="B50" s="348" t="s">
        <v>41</v>
      </c>
      <c r="C50" s="334">
        <v>4</v>
      </c>
      <c r="D50" s="334">
        <v>169542</v>
      </c>
      <c r="E50" s="334">
        <v>9</v>
      </c>
      <c r="F50" s="334">
        <v>196839</v>
      </c>
    </row>
    <row r="51" spans="1:6">
      <c r="A51" s="348" t="s">
        <v>42</v>
      </c>
      <c r="B51" s="348" t="s">
        <v>43</v>
      </c>
      <c r="C51" s="334">
        <v>7</v>
      </c>
      <c r="D51" s="334">
        <v>136425</v>
      </c>
      <c r="E51" s="334">
        <v>190</v>
      </c>
      <c r="F51" s="334">
        <v>3799469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106</v>
      </c>
      <c r="F54" s="334">
        <v>1062618</v>
      </c>
    </row>
    <row r="55" spans="1:6">
      <c r="A55" s="348" t="s">
        <v>46</v>
      </c>
      <c r="B55" s="348" t="s">
        <v>29</v>
      </c>
      <c r="C55" s="334">
        <v>0</v>
      </c>
      <c r="D55" s="334">
        <v>0</v>
      </c>
      <c r="E55" s="334">
        <v>0</v>
      </c>
      <c r="F55" s="334">
        <v>0</v>
      </c>
    </row>
    <row r="56" spans="1:6">
      <c r="A56" s="348" t="s">
        <v>48</v>
      </c>
      <c r="B56" s="348" t="s">
        <v>29</v>
      </c>
      <c r="C56" s="334">
        <v>48</v>
      </c>
      <c r="D56" s="334">
        <v>791290</v>
      </c>
      <c r="E56" s="334">
        <v>135</v>
      </c>
      <c r="F56" s="334">
        <v>620223</v>
      </c>
    </row>
    <row r="57" spans="1:6">
      <c r="A57" s="348" t="s">
        <v>49</v>
      </c>
      <c r="B57" s="348" t="s">
        <v>50</v>
      </c>
      <c r="C57" s="334">
        <v>21</v>
      </c>
      <c r="D57" s="334">
        <v>737835</v>
      </c>
      <c r="E57" s="334">
        <v>79</v>
      </c>
      <c r="F57" s="334">
        <v>3231903</v>
      </c>
    </row>
    <row r="58" spans="1:6">
      <c r="A58" s="348" t="s">
        <v>49</v>
      </c>
      <c r="B58" s="348" t="s">
        <v>51</v>
      </c>
      <c r="C58" s="334">
        <v>24</v>
      </c>
      <c r="D58" s="334">
        <v>1008733</v>
      </c>
      <c r="E58" s="334">
        <v>40</v>
      </c>
      <c r="F58" s="334">
        <v>1549383</v>
      </c>
    </row>
    <row r="59" spans="1:6">
      <c r="A59" s="348" t="s">
        <v>49</v>
      </c>
      <c r="B59" s="348" t="s">
        <v>52</v>
      </c>
      <c r="C59" s="334">
        <v>58</v>
      </c>
      <c r="D59" s="334">
        <v>3402405</v>
      </c>
      <c r="E59" s="334">
        <v>201</v>
      </c>
      <c r="F59" s="334">
        <v>7339733</v>
      </c>
    </row>
    <row r="60" spans="1:6">
      <c r="A60" s="348" t="s">
        <v>49</v>
      </c>
      <c r="B60" s="348" t="s">
        <v>53</v>
      </c>
      <c r="C60" s="334">
        <v>40</v>
      </c>
      <c r="D60" s="334">
        <v>25821368</v>
      </c>
      <c r="E60" s="334">
        <v>56</v>
      </c>
      <c r="F60" s="334">
        <v>7276638</v>
      </c>
    </row>
    <row r="61" spans="1:6">
      <c r="A61" s="348" t="s">
        <v>49</v>
      </c>
      <c r="B61" s="348" t="s">
        <v>54</v>
      </c>
      <c r="C61" s="334">
        <v>76</v>
      </c>
      <c r="D61" s="334">
        <v>5704295</v>
      </c>
      <c r="E61" s="334">
        <v>291</v>
      </c>
      <c r="F61" s="334">
        <v>4144619</v>
      </c>
    </row>
    <row r="62" spans="1:6">
      <c r="A62" s="348" t="s">
        <v>49</v>
      </c>
      <c r="B62" s="348" t="s">
        <v>55</v>
      </c>
      <c r="C62" s="334">
        <v>16</v>
      </c>
      <c r="D62" s="334">
        <v>2619365</v>
      </c>
      <c r="E62" s="334">
        <v>19</v>
      </c>
      <c r="F62" s="334">
        <v>437646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31183</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60221</v>
      </c>
      <c r="E68" s="334">
        <v>9</v>
      </c>
      <c r="F68" s="334">
        <v>70880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84890438</v>
      </c>
      <c r="E73" s="477">
        <v>87573387.122335836</v>
      </c>
    </row>
    <row r="74" spans="1:6">
      <c r="A74" s="348" t="s">
        <v>64</v>
      </c>
      <c r="B74" s="348" t="s">
        <v>714</v>
      </c>
      <c r="C74" s="1288" t="s">
        <v>716</v>
      </c>
      <c r="D74" s="477">
        <v>6833264.1722085355</v>
      </c>
      <c r="E74" s="477">
        <v>7094371.0598303182</v>
      </c>
    </row>
    <row r="75" spans="1:6">
      <c r="A75" s="348" t="s">
        <v>65</v>
      </c>
      <c r="B75" s="348" t="s">
        <v>713</v>
      </c>
      <c r="C75" s="1288" t="s">
        <v>717</v>
      </c>
      <c r="D75" s="477">
        <v>40128997</v>
      </c>
      <c r="E75" s="477">
        <v>41433013.003997959</v>
      </c>
    </row>
    <row r="76" spans="1:6">
      <c r="A76" s="348" t="s">
        <v>65</v>
      </c>
      <c r="B76" s="348" t="s">
        <v>714</v>
      </c>
      <c r="C76" s="1288" t="s">
        <v>718</v>
      </c>
      <c r="D76" s="477">
        <v>684749.17220853548</v>
      </c>
      <c r="E76" s="477">
        <v>733583.4370796174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743385.65558292891</v>
      </c>
      <c r="C83" s="477">
        <v>730713.24060597667</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6677.9615559092053</v>
      </c>
    </row>
    <row r="92" spans="1:6">
      <c r="A92" s="341" t="s">
        <v>69</v>
      </c>
      <c r="B92" s="342">
        <v>3572.3178500643912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5</v>
      </c>
    </row>
    <row r="99" spans="1:6">
      <c r="A99" s="348" t="s">
        <v>73</v>
      </c>
      <c r="B99" s="334">
        <v>58</v>
      </c>
    </row>
    <row r="100" spans="1:6">
      <c r="A100" s="348" t="s">
        <v>74</v>
      </c>
      <c r="B100" s="334">
        <v>226</v>
      </c>
    </row>
    <row r="101" spans="1:6">
      <c r="A101" s="348" t="s">
        <v>75</v>
      </c>
      <c r="B101" s="334">
        <v>79</v>
      </c>
    </row>
    <row r="102" spans="1:6">
      <c r="A102" s="348" t="s">
        <v>76</v>
      </c>
      <c r="B102" s="334">
        <v>57</v>
      </c>
    </row>
    <row r="103" spans="1:6">
      <c r="A103" s="348" t="s">
        <v>77</v>
      </c>
      <c r="B103" s="334">
        <v>102</v>
      </c>
    </row>
    <row r="104" spans="1:6">
      <c r="A104" s="348" t="s">
        <v>78</v>
      </c>
      <c r="B104" s="334">
        <v>3908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42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226</v>
      </c>
    </row>
    <row r="130" spans="1:6">
      <c r="A130" s="348" t="s">
        <v>295</v>
      </c>
      <c r="B130" s="334">
        <v>2</v>
      </c>
    </row>
    <row r="131" spans="1:6">
      <c r="A131" s="348" t="s">
        <v>296</v>
      </c>
      <c r="B131" s="334">
        <v>0</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73037.621909681315</v>
      </c>
      <c r="C3" s="43" t="s">
        <v>170</v>
      </c>
      <c r="D3" s="43"/>
      <c r="E3" s="154"/>
      <c r="F3" s="43"/>
      <c r="G3" s="43"/>
      <c r="H3" s="43"/>
      <c r="I3" s="43"/>
      <c r="J3" s="43"/>
      <c r="K3" s="96"/>
    </row>
    <row r="4" spans="1:11">
      <c r="A4" s="384" t="s">
        <v>171</v>
      </c>
      <c r="B4" s="49">
        <f>IF(ISERROR('SEAP template'!B69),0,'SEAP template'!B69)</f>
        <v>10293.929405973597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0.18985223889773697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1062.6179999999999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1062.6179999999999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0.18985223889773697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201.74040639303544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23044.065999999999</v>
      </c>
      <c r="C5" s="17">
        <f>IF(ISERROR('Eigen informatie GS &amp; warmtenet'!B57),0,'Eigen informatie GS &amp; warmtenet'!B57)</f>
        <v>0</v>
      </c>
      <c r="D5" s="30">
        <f>(SUM(HH_hh_gas_kWh,HH_rest_gas_kWh)/1000)*0.902</f>
        <v>41596.942287999998</v>
      </c>
      <c r="E5" s="17">
        <f>B46*B57</f>
        <v>3221.725450583293</v>
      </c>
      <c r="F5" s="17">
        <f>B51*B62</f>
        <v>51093.97823824337</v>
      </c>
      <c r="G5" s="18"/>
      <c r="H5" s="17"/>
      <c r="I5" s="17"/>
      <c r="J5" s="17">
        <f>B50*B61+C50*C61</f>
        <v>0</v>
      </c>
      <c r="K5" s="17"/>
      <c r="L5" s="17"/>
      <c r="M5" s="17"/>
      <c r="N5" s="17">
        <f>B48*B59+C48*C59</f>
        <v>16641.244910672896</v>
      </c>
      <c r="O5" s="17">
        <f>B69*B70*B71</f>
        <v>418.97333333333341</v>
      </c>
      <c r="P5" s="17">
        <f>B77*B78*B79/1000-B77*B78*B79/1000/B80</f>
        <v>1296.5333333333333</v>
      </c>
    </row>
    <row r="6" spans="1:16">
      <c r="A6" s="16" t="s">
        <v>631</v>
      </c>
      <c r="B6" s="844">
        <f>kWh_PV_kleiner_dan_10kW</f>
        <v>6677.9615559092053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29722.027555909204</v>
      </c>
      <c r="C8" s="21">
        <f>C5</f>
        <v>0</v>
      </c>
      <c r="D8" s="21">
        <f>D5</f>
        <v>41596.942287999998</v>
      </c>
      <c r="E8" s="21">
        <f>E5</f>
        <v>3221.725450583293</v>
      </c>
      <c r="F8" s="21">
        <f>F5</f>
        <v>51093.97823824337</v>
      </c>
      <c r="G8" s="21"/>
      <c r="H8" s="21"/>
      <c r="I8" s="21"/>
      <c r="J8" s="21">
        <f>J5</f>
        <v>0</v>
      </c>
      <c r="K8" s="21"/>
      <c r="L8" s="21">
        <f>L5</f>
        <v>0</v>
      </c>
      <c r="M8" s="21">
        <f>M5</f>
        <v>0</v>
      </c>
      <c r="N8" s="21">
        <f>N5</f>
        <v>16641.244910672896</v>
      </c>
      <c r="O8" s="21">
        <f>O5</f>
        <v>418.97333333333341</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0.18985223889773697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5642.7934760695953</v>
      </c>
      <c r="C12" s="23">
        <f ca="1">C10*C8</f>
        <v>0</v>
      </c>
      <c r="D12" s="23">
        <f>D8*D10</f>
        <v>8402.5823421759997</v>
      </c>
      <c r="E12" s="23">
        <f>E10*E8</f>
        <v>731.33167728240755</v>
      </c>
      <c r="F12" s="23">
        <f>F10*F8</f>
        <v>13642.092189610981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5</v>
      </c>
      <c r="C19" s="166" t="s">
        <v>111</v>
      </c>
      <c r="D19" s="229"/>
      <c r="E19" s="15"/>
    </row>
    <row r="20" spans="1:7">
      <c r="A20" s="171" t="s">
        <v>73</v>
      </c>
      <c r="B20" s="37">
        <f>aantalw2001_propaan</f>
        <v>58</v>
      </c>
      <c r="C20" s="167">
        <f>IF(ISERROR(B20/SUM($B$20,$B$21,$B$22)*100),0,B20/SUM($B$20,$B$21,$B$22)*100)</f>
        <v>15.977961432506888</v>
      </c>
      <c r="D20" s="229"/>
      <c r="E20" s="15"/>
    </row>
    <row r="21" spans="1:7">
      <c r="A21" s="171" t="s">
        <v>74</v>
      </c>
      <c r="B21" s="37">
        <f>aantalw2001_elektriciteit</f>
        <v>226</v>
      </c>
      <c r="C21" s="167">
        <f>IF(ISERROR(B21/SUM($B$20,$B$21,$B$22)*100),0,B21/SUM($B$20,$B$21,$B$22)*100)</f>
        <v>62.258953168044073</v>
      </c>
      <c r="D21" s="229"/>
      <c r="E21" s="15"/>
    </row>
    <row r="22" spans="1:7">
      <c r="A22" s="171" t="s">
        <v>75</v>
      </c>
      <c r="B22" s="37">
        <f>aantalw2001_hout</f>
        <v>79</v>
      </c>
      <c r="C22" s="167">
        <f>IF(ISERROR(B22/SUM($B$20,$B$21,$B$22)*100),0,B22/SUM($B$20,$B$21,$B$22)*100)</f>
        <v>21.763085399449036</v>
      </c>
      <c r="D22" s="229"/>
      <c r="E22" s="15"/>
    </row>
    <row r="23" spans="1:7">
      <c r="A23" s="171" t="s">
        <v>76</v>
      </c>
      <c r="B23" s="37">
        <f>aantalw2001_niet_gespec</f>
        <v>57</v>
      </c>
      <c r="C23" s="166" t="s">
        <v>111</v>
      </c>
      <c r="D23" s="228"/>
      <c r="E23" s="15"/>
    </row>
    <row r="24" spans="1:7">
      <c r="A24" s="171" t="s">
        <v>77</v>
      </c>
      <c r="B24" s="37">
        <f>aantalw2001_steenkool</f>
        <v>102</v>
      </c>
      <c r="C24" s="166" t="s">
        <v>111</v>
      </c>
      <c r="D24" s="229"/>
      <c r="E24" s="15"/>
    </row>
    <row r="25" spans="1:7">
      <c r="A25" s="171" t="s">
        <v>78</v>
      </c>
      <c r="B25" s="37">
        <f>aantalw2001_stookolie</f>
        <v>3908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6434</v>
      </c>
      <c r="C28" s="36"/>
      <c r="D28" s="228"/>
    </row>
    <row r="29" spans="1:7" s="15" customFormat="1">
      <c r="A29" s="230" t="s">
        <v>741</v>
      </c>
      <c r="B29" s="37">
        <f>SUM(HH_hh_gas_aantal,HH_rest_gas_aantal)</f>
        <v>2939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2939</v>
      </c>
      <c r="C32" s="167">
        <f>IF(ISERROR(B32/SUM($B$32,$B$34,$B$35,$B$36,$B$38,$B$39)*100),0,B32/SUM($B$32,$B$34,$B$35,$B$36,$B$38,$B$39)*100)</f>
        <v>46.167137920201071</v>
      </c>
      <c r="D32" s="233"/>
      <c r="G32" s="15"/>
    </row>
    <row r="33" spans="1:7">
      <c r="A33" s="171" t="s">
        <v>72</v>
      </c>
      <c r="B33" s="34" t="s">
        <v>111</v>
      </c>
      <c r="C33" s="167"/>
      <c r="D33" s="233"/>
      <c r="G33" s="15"/>
    </row>
    <row r="34" spans="1:7">
      <c r="A34" s="171" t="s">
        <v>73</v>
      </c>
      <c r="B34" s="33">
        <f>IF((($B$28-$B$32-$B$39-$B$77-$B$38)*C20/100)&lt;0,0,($B$28-$B$32-$B$39-$B$77-$B$38)*C20/100)</f>
        <v>215.92617079889808</v>
      </c>
      <c r="C34" s="167">
        <f>IF(ISERROR(B34/SUM($B$32,$B$34,$B$35,$B$36,$B$38,$B$39)*100),0,B34/SUM($B$32,$B$34,$B$35,$B$36,$B$38,$B$39)*100)</f>
        <v>3.391865705292147</v>
      </c>
      <c r="D34" s="233"/>
      <c r="G34" s="15"/>
    </row>
    <row r="35" spans="1:7">
      <c r="A35" s="171" t="s">
        <v>74</v>
      </c>
      <c r="B35" s="33">
        <f>IF((($B$28-$B$32-$B$39-$B$77-$B$38)*C21/100)&lt;0,0,($B$28-$B$32-$B$39-$B$77-$B$38)*C21/100)</f>
        <v>841.36749311294773</v>
      </c>
      <c r="C35" s="167">
        <f>IF(ISERROR(B35/SUM($B$32,$B$34,$B$35,$B$36,$B$38,$B$39)*100),0,B35/SUM($B$32,$B$34,$B$35,$B$36,$B$38,$B$39)*100)</f>
        <v>13.216580162000435</v>
      </c>
      <c r="D35" s="233"/>
      <c r="G35" s="15"/>
    </row>
    <row r="36" spans="1:7">
      <c r="A36" s="171" t="s">
        <v>75</v>
      </c>
      <c r="B36" s="33">
        <f>IF((($B$28-$B$32-$B$39-$B$77-$B$38)*C22/100)&lt;0,0,($B$28-$B$32-$B$39-$B$77-$B$38)*C22/100)</f>
        <v>294.10633608815425</v>
      </c>
      <c r="C36" s="167">
        <f>IF(ISERROR(B36/SUM($B$32,$B$34,$B$35,$B$36,$B$38,$B$39)*100),0,B36/SUM($B$32,$B$34,$B$35,$B$36,$B$38,$B$39)*100)</f>
        <v>4.6199550123806823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2075.6</v>
      </c>
      <c r="C39" s="167">
        <f>IF(ISERROR(B39/SUM($B$32,$B$34,$B$35,$B$36,$B$38,$B$39)*100),0,B39/SUM($B$32,$B$34,$B$35,$B$36,$B$38,$B$39)*100)</f>
        <v>32.60446120012567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2939</v>
      </c>
      <c r="C44" s="34" t="s">
        <v>111</v>
      </c>
      <c r="D44" s="174"/>
    </row>
    <row r="45" spans="1:7">
      <c r="A45" s="171" t="s">
        <v>72</v>
      </c>
      <c r="B45" s="33" t="str">
        <f t="shared" si="0"/>
        <v>-</v>
      </c>
      <c r="C45" s="34" t="s">
        <v>111</v>
      </c>
      <c r="D45" s="174"/>
    </row>
    <row r="46" spans="1:7">
      <c r="A46" s="171" t="s">
        <v>73</v>
      </c>
      <c r="B46" s="33">
        <f t="shared" si="0"/>
        <v>215.92617079889808</v>
      </c>
      <c r="C46" s="34" t="s">
        <v>111</v>
      </c>
      <c r="D46" s="174"/>
    </row>
    <row r="47" spans="1:7">
      <c r="A47" s="171" t="s">
        <v>74</v>
      </c>
      <c r="B47" s="33">
        <f t="shared" si="0"/>
        <v>841.36749311294773</v>
      </c>
      <c r="C47" s="34" t="s">
        <v>111</v>
      </c>
      <c r="D47" s="174"/>
    </row>
    <row r="48" spans="1:7">
      <c r="A48" s="171" t="s">
        <v>75</v>
      </c>
      <c r="B48" s="33">
        <f t="shared" si="0"/>
        <v>294.10633608815425</v>
      </c>
      <c r="C48" s="33">
        <f>B48*10</f>
        <v>2941.0633608815424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2075.6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23979.921999999999</v>
      </c>
      <c r="C5" s="17">
        <f>IF(ISERROR('Eigen informatie GS &amp; warmtenet'!B58),0,'Eigen informatie GS &amp; warmtenet'!B58)</f>
        <v>0</v>
      </c>
      <c r="D5" s="30">
        <f>SUM(D6:D12)</f>
        <v>35443.188901999994</v>
      </c>
      <c r="E5" s="17">
        <f>SUM(E6:E12)</f>
        <v>408.90718481038709</v>
      </c>
      <c r="F5" s="17">
        <f>SUM(F6:F12)</f>
        <v>4007.5922061252204</v>
      </c>
      <c r="G5" s="18"/>
      <c r="H5" s="17"/>
      <c r="I5" s="17"/>
      <c r="J5" s="17">
        <f>SUM(J6:J12)</f>
        <v>0</v>
      </c>
      <c r="K5" s="17"/>
      <c r="L5" s="17"/>
      <c r="M5" s="17"/>
      <c r="N5" s="17">
        <f>SUM(N6:N12)</f>
        <v>2392.4212965874449</v>
      </c>
      <c r="O5" s="17">
        <f>B38*B39*B40</f>
        <v>3.1266666666666669</v>
      </c>
      <c r="P5" s="17">
        <f>B46*B47*B48/1000-B46*B47*B48/1000/B49</f>
        <v>0</v>
      </c>
      <c r="R5" s="32"/>
    </row>
    <row r="6" spans="1:18">
      <c r="A6" s="32" t="s">
        <v>54</v>
      </c>
      <c r="B6" s="37">
        <f>B26</f>
        <v>4144.6189999999997</v>
      </c>
      <c r="C6" s="33"/>
      <c r="D6" s="37">
        <f>IF(ISERROR(TER_kantoor_gas_kWh/1000),0,TER_kantoor_gas_kWh/1000)*0.902</f>
        <v>5145.2740899999999</v>
      </c>
      <c r="E6" s="33">
        <f>$C$26*'E Balans VL '!I12/100/3.6*1000000</f>
        <v>12.007569344831637</v>
      </c>
      <c r="F6" s="33">
        <f>$C$26*('E Balans VL '!L12+'E Balans VL '!N12)/100/3.6*1000000</f>
        <v>469.07955776371625</v>
      </c>
      <c r="G6" s="34"/>
      <c r="H6" s="33"/>
      <c r="I6" s="33"/>
      <c r="J6" s="33">
        <f>$C$26*('E Balans VL '!D12+'E Balans VL '!E12)/100/3.6*1000000</f>
        <v>0</v>
      </c>
      <c r="K6" s="33"/>
      <c r="L6" s="33"/>
      <c r="M6" s="33"/>
      <c r="N6" s="33">
        <f>$C$26*'E Balans VL '!Y12/100/3.6*1000000</f>
        <v>41.484582298368302</v>
      </c>
      <c r="O6" s="33"/>
      <c r="P6" s="33"/>
      <c r="R6" s="32"/>
    </row>
    <row r="7" spans="1:18">
      <c r="A7" s="32" t="s">
        <v>53</v>
      </c>
      <c r="B7" s="37">
        <f t="shared" ref="B7:B12" si="0">B27</f>
        <v>7276.6379999999999</v>
      </c>
      <c r="C7" s="33"/>
      <c r="D7" s="37">
        <f>IF(ISERROR(TER_horeca_gas_kWh/1000),0,TER_horeca_gas_kWh/1000)*0.902</f>
        <v>23290.873936</v>
      </c>
      <c r="E7" s="33">
        <f>$C$27*'E Balans VL '!I9/100/3.6*1000000</f>
        <v>305.45293271523707</v>
      </c>
      <c r="F7" s="33">
        <f>$C$27*('E Balans VL '!L9+'E Balans VL '!N9)/100/3.6*1000000</f>
        <v>1563.5348958163122</v>
      </c>
      <c r="G7" s="34"/>
      <c r="H7" s="33"/>
      <c r="I7" s="33"/>
      <c r="J7" s="33">
        <f>$C$27*('E Balans VL '!D9+'E Balans VL '!E9)/100/3.6*1000000</f>
        <v>0</v>
      </c>
      <c r="K7" s="33"/>
      <c r="L7" s="33"/>
      <c r="M7" s="33"/>
      <c r="N7" s="33">
        <f>$C$27*'E Balans VL '!Y9/100/3.6*1000000</f>
        <v>1.8751259760921284</v>
      </c>
      <c r="O7" s="33"/>
      <c r="P7" s="33"/>
      <c r="R7" s="32"/>
    </row>
    <row r="8" spans="1:18">
      <c r="A8" s="6" t="s">
        <v>52</v>
      </c>
      <c r="B8" s="37">
        <f t="shared" si="0"/>
        <v>7339.7330000000002</v>
      </c>
      <c r="C8" s="33"/>
      <c r="D8" s="37">
        <f>IF(ISERROR(TER_handel_gas_kWh/1000),0,TER_handel_gas_kWh/1000)*0.902</f>
        <v>3068.9693100000004</v>
      </c>
      <c r="E8" s="33">
        <f>$C$28*'E Balans VL '!I13/100/3.6*1000000</f>
        <v>78.834841106126774</v>
      </c>
      <c r="F8" s="33">
        <f>$C$28*('E Balans VL '!L13+'E Balans VL '!N13)/100/3.6*1000000</f>
        <v>950.18904711564596</v>
      </c>
      <c r="G8" s="34"/>
      <c r="H8" s="33"/>
      <c r="I8" s="33"/>
      <c r="J8" s="33">
        <f>$C$28*('E Balans VL '!D13+'E Balans VL '!E13)/100/3.6*1000000</f>
        <v>0</v>
      </c>
      <c r="K8" s="33"/>
      <c r="L8" s="33"/>
      <c r="M8" s="33"/>
      <c r="N8" s="33">
        <f>$C$28*'E Balans VL '!Y13/100/3.6*1000000</f>
        <v>59.540314862846962</v>
      </c>
      <c r="O8" s="33"/>
      <c r="P8" s="33"/>
      <c r="R8" s="32"/>
    </row>
    <row r="9" spans="1:18">
      <c r="A9" s="32" t="s">
        <v>51</v>
      </c>
      <c r="B9" s="37">
        <f t="shared" si="0"/>
        <v>1549.383</v>
      </c>
      <c r="C9" s="33"/>
      <c r="D9" s="37">
        <f>IF(ISERROR(TER_gezond_gas_kWh/1000),0,TER_gezond_gas_kWh/1000)*0.902</f>
        <v>909.87716599999999</v>
      </c>
      <c r="E9" s="33">
        <f>$C$29*'E Balans VL '!I10/100/3.6*1000000</f>
        <v>1.2334090794076968</v>
      </c>
      <c r="F9" s="33">
        <f>$C$29*('E Balans VL '!L10+'E Balans VL '!N10)/100/3.6*1000000</f>
        <v>188.34989425108049</v>
      </c>
      <c r="G9" s="34"/>
      <c r="H9" s="33"/>
      <c r="I9" s="33"/>
      <c r="J9" s="33">
        <f>$C$29*('E Balans VL '!D10+'E Balans VL '!E10)/100/3.6*1000000</f>
        <v>0</v>
      </c>
      <c r="K9" s="33"/>
      <c r="L9" s="33"/>
      <c r="M9" s="33"/>
      <c r="N9" s="33">
        <f>$C$29*'E Balans VL '!Y10/100/3.6*1000000</f>
        <v>12.515505391944339</v>
      </c>
      <c r="O9" s="33"/>
      <c r="P9" s="33"/>
      <c r="R9" s="32"/>
    </row>
    <row r="10" spans="1:18">
      <c r="A10" s="32" t="s">
        <v>50</v>
      </c>
      <c r="B10" s="37">
        <f t="shared" si="0"/>
        <v>3231.9029999999998</v>
      </c>
      <c r="C10" s="33"/>
      <c r="D10" s="37">
        <f>IF(ISERROR(TER_ander_gas_kWh/1000),0,TER_ander_gas_kWh/1000)*0.902</f>
        <v>665.52717000000007</v>
      </c>
      <c r="E10" s="33">
        <f>$C$30*'E Balans VL '!I14/100/3.6*1000000</f>
        <v>11.075901363419899</v>
      </c>
      <c r="F10" s="33">
        <f>$C$30*('E Balans VL '!L14+'E Balans VL '!N14)/100/3.6*1000000</f>
        <v>721.87580113218485</v>
      </c>
      <c r="G10" s="34"/>
      <c r="H10" s="33"/>
      <c r="I10" s="33"/>
      <c r="J10" s="33">
        <f>$C$30*('E Balans VL '!D14+'E Balans VL '!E14)/100/3.6*1000000</f>
        <v>0</v>
      </c>
      <c r="K10" s="33"/>
      <c r="L10" s="33"/>
      <c r="M10" s="33"/>
      <c r="N10" s="33">
        <f>$C$30*'E Balans VL '!Y14/100/3.6*1000000</f>
        <v>2276.5701287409715</v>
      </c>
      <c r="O10" s="33"/>
      <c r="P10" s="33"/>
      <c r="R10" s="32"/>
    </row>
    <row r="11" spans="1:18">
      <c r="A11" s="32" t="s">
        <v>55</v>
      </c>
      <c r="B11" s="37">
        <f t="shared" si="0"/>
        <v>437.64600000000002</v>
      </c>
      <c r="C11" s="33"/>
      <c r="D11" s="37">
        <f>IF(ISERROR(TER_onderwijs_gas_kWh/1000),0,TER_onderwijs_gas_kWh/1000)*0.902</f>
        <v>2362.66723</v>
      </c>
      <c r="E11" s="33">
        <f>$C$31*'E Balans VL '!I11/100/3.6*1000000</f>
        <v>0.30253120136396966</v>
      </c>
      <c r="F11" s="33">
        <f>$C$31*('E Balans VL '!L11+'E Balans VL '!N11)/100/3.6*1000000</f>
        <v>114.56301004628105</v>
      </c>
      <c r="G11" s="34"/>
      <c r="H11" s="33"/>
      <c r="I11" s="33"/>
      <c r="J11" s="33">
        <f>$C$31*('E Balans VL '!D11+'E Balans VL '!E11)/100/3.6*1000000</f>
        <v>0</v>
      </c>
      <c r="K11" s="33"/>
      <c r="L11" s="33"/>
      <c r="M11" s="33"/>
      <c r="N11" s="33">
        <f>$C$31*'E Balans VL '!Y11/100/3.6*1000000</f>
        <v>0.43563931722153865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23979.921999999999</v>
      </c>
      <c r="C16" s="21">
        <f t="shared" ca="1" si="1"/>
        <v>0</v>
      </c>
      <c r="D16" s="21">
        <f t="shared" ca="1" si="1"/>
        <v>35443.188901999994</v>
      </c>
      <c r="E16" s="21">
        <f t="shared" si="1"/>
        <v>408.90718481038709</v>
      </c>
      <c r="F16" s="21">
        <f t="shared" ca="1" si="1"/>
        <v>4007.5922061252204</v>
      </c>
      <c r="G16" s="21">
        <f t="shared" si="1"/>
        <v>0</v>
      </c>
      <c r="H16" s="21">
        <f t="shared" si="1"/>
        <v>0</v>
      </c>
      <c r="I16" s="21">
        <f t="shared" si="1"/>
        <v>0</v>
      </c>
      <c r="J16" s="21">
        <f t="shared" si="1"/>
        <v>0</v>
      </c>
      <c r="K16" s="21">
        <f t="shared" si="1"/>
        <v>0</v>
      </c>
      <c r="L16" s="21">
        <f t="shared" ca="1" si="1"/>
        <v>0</v>
      </c>
      <c r="M16" s="21">
        <f t="shared" si="1"/>
        <v>0</v>
      </c>
      <c r="N16" s="21">
        <f t="shared" ca="1" si="1"/>
        <v>2392.4212965874449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0.18985223889773697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4552.6418802930984</v>
      </c>
      <c r="C20" s="23">
        <f t="shared" ref="C20:P20" ca="1" si="2">C16*C18</f>
        <v>0</v>
      </c>
      <c r="D20" s="23">
        <f t="shared" ca="1" si="2"/>
        <v>7159.5241582039989</v>
      </c>
      <c r="E20" s="23">
        <f t="shared" si="2"/>
        <v>92.821930951957867</v>
      </c>
      <c r="F20" s="23">
        <f t="shared" ca="1" si="2"/>
        <v>1070.027119035434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4144.6189999999997</v>
      </c>
      <c r="C26" s="39">
        <f>IF(ISERROR(B26*3.6/1000000/'E Balans VL '!Z12*100),0,B26*3.6/1000000/'E Balans VL '!Z12*100)</f>
        <v>9.1041347994387567E-2</v>
      </c>
      <c r="D26" s="237" t="s">
        <v>692</v>
      </c>
      <c r="F26" s="6"/>
    </row>
    <row r="27" spans="1:18">
      <c r="A27" s="231" t="s">
        <v>53</v>
      </c>
      <c r="B27" s="33">
        <f>IF(ISERROR(TER_horeca_ele_kWh/1000),0,TER_horeca_ele_kWh/1000)</f>
        <v>7276.6379999999999</v>
      </c>
      <c r="C27" s="39">
        <f>IF(ISERROR(B27*3.6/1000000/'E Balans VL '!Z9*100),0,B27*3.6/1000000/'E Balans VL '!Z9*100)</f>
        <v>0.58475039768429338</v>
      </c>
      <c r="D27" s="237" t="s">
        <v>692</v>
      </c>
      <c r="F27" s="6"/>
    </row>
    <row r="28" spans="1:18">
      <c r="A28" s="171" t="s">
        <v>52</v>
      </c>
      <c r="B28" s="33">
        <f>IF(ISERROR(TER_handel_ele_kWh/1000),0,TER_handel_ele_kWh/1000)</f>
        <v>7339.7330000000002</v>
      </c>
      <c r="C28" s="39">
        <f>IF(ISERROR(B28*3.6/1000000/'E Balans VL '!Z13*100),0,B28*3.6/1000000/'E Balans VL '!Z13*100)</f>
        <v>0.21703077716486324</v>
      </c>
      <c r="D28" s="237" t="s">
        <v>692</v>
      </c>
      <c r="F28" s="6"/>
    </row>
    <row r="29" spans="1:18">
      <c r="A29" s="231" t="s">
        <v>51</v>
      </c>
      <c r="B29" s="33">
        <f>IF(ISERROR(TER_gezond_ele_kWh/1000),0,TER_gezond_ele_kWh/1000)</f>
        <v>1549.383</v>
      </c>
      <c r="C29" s="39">
        <f>IF(ISERROR(B29*3.6/1000000/'E Balans VL '!Z10*100),0,B29*3.6/1000000/'E Balans VL '!Z10*100)</f>
        <v>0.17457546255708489</v>
      </c>
      <c r="D29" s="237" t="s">
        <v>692</v>
      </c>
      <c r="F29" s="6"/>
    </row>
    <row r="30" spans="1:18">
      <c r="A30" s="231" t="s">
        <v>50</v>
      </c>
      <c r="B30" s="33">
        <f>IF(ISERROR(TER_ander_ele_kWh/1000),0,TER_ander_ele_kWh/1000)</f>
        <v>3231.9029999999998</v>
      </c>
      <c r="C30" s="39">
        <f>IF(ISERROR(B30*3.6/1000000/'E Balans VL '!Z14*100),0,B30*3.6/1000000/'E Balans VL '!Z14*100)</f>
        <v>0.24442329920137204</v>
      </c>
      <c r="D30" s="237" t="s">
        <v>692</v>
      </c>
      <c r="F30" s="6"/>
    </row>
    <row r="31" spans="1:18">
      <c r="A31" s="231" t="s">
        <v>55</v>
      </c>
      <c r="B31" s="33">
        <f>IF(ISERROR(TER_onderwijs_ele_kWh/1000),0,TER_onderwijs_ele_kWh/1000)</f>
        <v>437.64600000000002</v>
      </c>
      <c r="C31" s="39">
        <f>IF(ISERROR(B31*3.6/1000000/'E Balans VL '!Z11*100),0,B31*3.6/1000000/'E Balans VL '!Z11*100)</f>
        <v>9.0845150084262319E-2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14456.450999999999</v>
      </c>
      <c r="C5" s="17">
        <f>IF(ISERROR('Eigen informatie GS &amp; warmtenet'!B59),0,'Eigen informatie GS &amp; warmtenet'!B59)</f>
        <v>0</v>
      </c>
      <c r="D5" s="30">
        <f>SUM(D6:D15)</f>
        <v>3477.1667040000002</v>
      </c>
      <c r="E5" s="17">
        <f>SUM(E6:E15)</f>
        <v>616.88752242560838</v>
      </c>
      <c r="F5" s="17">
        <f>SUM(F6:F15)</f>
        <v>2605.1397376849536</v>
      </c>
      <c r="G5" s="18"/>
      <c r="H5" s="17"/>
      <c r="I5" s="17"/>
      <c r="J5" s="17">
        <f>SUM(J6:J15)</f>
        <v>5.5701201092702517</v>
      </c>
      <c r="K5" s="17"/>
      <c r="L5" s="17"/>
      <c r="M5" s="17"/>
      <c r="N5" s="17">
        <f>SUM(N6:N15)</f>
        <v>1681.9614441959611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285.44400000000002</v>
      </c>
      <c r="C8" s="33"/>
      <c r="D8" s="37">
        <f>IF( ISERROR(IND_metaal_Gas_kWH/1000),0,IND_metaal_Gas_kWH/1000)*0.902</f>
        <v>209.95402999999999</v>
      </c>
      <c r="E8" s="33">
        <f>C30*'E Balans VL '!I18/100/3.6*1000000</f>
        <v>7.1436642874028804</v>
      </c>
      <c r="F8" s="33">
        <f>C30*'E Balans VL '!L18/100/3.6*1000000+C30*'E Balans VL '!N18/100/3.6*1000000</f>
        <v>89.459569471477138</v>
      </c>
      <c r="G8" s="34"/>
      <c r="H8" s="33"/>
      <c r="I8" s="33"/>
      <c r="J8" s="40">
        <f>C30*'E Balans VL '!D18/100/3.6*1000000+C30*'E Balans VL '!E18/100/3.6*1000000</f>
        <v>0</v>
      </c>
      <c r="K8" s="33"/>
      <c r="L8" s="33"/>
      <c r="M8" s="33"/>
      <c r="N8" s="33">
        <f>C30*'E Balans VL '!Y18/100/3.6*1000000</f>
        <v>7.1710940717775431</v>
      </c>
      <c r="O8" s="33"/>
      <c r="P8" s="33"/>
      <c r="R8" s="32"/>
    </row>
    <row r="9" spans="1:18">
      <c r="A9" s="6" t="s">
        <v>33</v>
      </c>
      <c r="B9" s="37">
        <f t="shared" si="0"/>
        <v>2074.7469999999998</v>
      </c>
      <c r="C9" s="33"/>
      <c r="D9" s="37">
        <f>IF( ISERROR(IND_andere_gas_kWh/1000),0,IND_andere_gas_kWh/1000)*0.902</f>
        <v>1556.7112880000002</v>
      </c>
      <c r="E9" s="33">
        <f>C31*'E Balans VL '!I19/100/3.6*1000000</f>
        <v>570.47032913645103</v>
      </c>
      <c r="F9" s="33">
        <f>C31*'E Balans VL '!L19/100/3.6*1000000+C31*'E Balans VL '!N19/100/3.6*1000000</f>
        <v>1635.2616678993538</v>
      </c>
      <c r="G9" s="34"/>
      <c r="H9" s="33"/>
      <c r="I9" s="33"/>
      <c r="J9" s="40">
        <f>C31*'E Balans VL '!D19/100/3.6*1000000+C31*'E Balans VL '!E19/100/3.6*1000000</f>
        <v>0</v>
      </c>
      <c r="K9" s="33"/>
      <c r="L9" s="33"/>
      <c r="M9" s="33"/>
      <c r="N9" s="33">
        <f>C31*'E Balans VL '!Y19/100/3.6*1000000</f>
        <v>671.65036805661271</v>
      </c>
      <c r="O9" s="33"/>
      <c r="P9" s="33"/>
      <c r="R9" s="32"/>
    </row>
    <row r="10" spans="1:18">
      <c r="A10" s="6" t="s">
        <v>41</v>
      </c>
      <c r="B10" s="37">
        <f t="shared" si="0"/>
        <v>196.839</v>
      </c>
      <c r="C10" s="33"/>
      <c r="D10" s="37">
        <f>IF( ISERROR(IND_voed_gas_kWh/1000),0,IND_voed_gas_kWh/1000)*0.902</f>
        <v>152.926884</v>
      </c>
      <c r="E10" s="33">
        <f>C32*'E Balans VL '!I20/100/3.6*1000000</f>
        <v>2.006665165776143</v>
      </c>
      <c r="F10" s="33">
        <f>C32*'E Balans VL '!L20/100/3.6*1000000+C32*'E Balans VL '!N20/100/3.6*1000000</f>
        <v>371.82763989089511</v>
      </c>
      <c r="G10" s="34"/>
      <c r="H10" s="33"/>
      <c r="I10" s="33"/>
      <c r="J10" s="40">
        <f>C32*'E Balans VL '!D20/100/3.6*1000000+C32*'E Balans VL '!E20/100/3.6*1000000</f>
        <v>4.7110013301239153</v>
      </c>
      <c r="K10" s="33"/>
      <c r="L10" s="33"/>
      <c r="M10" s="33"/>
      <c r="N10" s="33">
        <f>C32*'E Balans VL '!Y20/100/3.6*1000000</f>
        <v>103.75682607254699</v>
      </c>
      <c r="O10" s="33"/>
      <c r="P10" s="33"/>
      <c r="R10" s="32"/>
    </row>
    <row r="11" spans="1:18">
      <c r="A11" s="6" t="s">
        <v>40</v>
      </c>
      <c r="B11" s="37">
        <f t="shared" si="0"/>
        <v>9724.4979999999996</v>
      </c>
      <c r="C11" s="33"/>
      <c r="D11" s="37">
        <f>IF( ISERROR(IND_textiel_gas_kWh/1000),0,IND_textiel_gas_kWh/1000)*0.902</f>
        <v>0</v>
      </c>
      <c r="E11" s="33">
        <f>C33*'E Balans VL '!I21/100/3.6*1000000</f>
        <v>25.774677094624028</v>
      </c>
      <c r="F11" s="33">
        <f>C33*'E Balans VL '!L21/100/3.6*1000000+C33*'E Balans VL '!N21/100/3.6*1000000</f>
        <v>434.30611224665716</v>
      </c>
      <c r="G11" s="34"/>
      <c r="H11" s="33"/>
      <c r="I11" s="33"/>
      <c r="J11" s="40">
        <f>C33*'E Balans VL '!D21/100/3.6*1000000+C33*'E Balans VL '!E21/100/3.6*1000000</f>
        <v>0</v>
      </c>
      <c r="K11" s="33"/>
      <c r="L11" s="33"/>
      <c r="M11" s="33"/>
      <c r="N11" s="33">
        <f>C33*'E Balans VL '!Y21/100/3.6*1000000</f>
        <v>91.646442169324501</v>
      </c>
      <c r="O11" s="33"/>
      <c r="P11" s="33"/>
      <c r="R11" s="32"/>
    </row>
    <row r="12" spans="1:18">
      <c r="A12" s="6" t="s">
        <v>37</v>
      </c>
      <c r="B12" s="37">
        <f t="shared" si="0"/>
        <v>184.51400000000001</v>
      </c>
      <c r="C12" s="33"/>
      <c r="D12" s="37">
        <f>IF( ISERROR(IND_min_gas_kWh/1000),0,IND_min_gas_kWh/1000)*0.902</f>
        <v>0</v>
      </c>
      <c r="E12" s="33">
        <f>C34*'E Balans VL '!I22/100/3.6*1000000</f>
        <v>0.55880944055094428</v>
      </c>
      <c r="F12" s="33">
        <f>C34*'E Balans VL '!L22/100/3.6*1000000+C34*'E Balans VL '!N22/100/3.6*1000000</f>
        <v>5.7662211333476794</v>
      </c>
      <c r="G12" s="34"/>
      <c r="H12" s="33"/>
      <c r="I12" s="33"/>
      <c r="J12" s="40">
        <f>C34*'E Balans VL '!D22/100/3.6*1000000+C34*'E Balans VL '!E22/100/3.6*1000000</f>
        <v>0.27359330200262905</v>
      </c>
      <c r="K12" s="33"/>
      <c r="L12" s="33"/>
      <c r="M12" s="33"/>
      <c r="N12" s="33">
        <f>C34*'E Balans VL '!Y22/100/3.6*1000000</f>
        <v>0</v>
      </c>
      <c r="O12" s="33"/>
      <c r="P12" s="33"/>
      <c r="R12" s="32"/>
    </row>
    <row r="13" spans="1:18">
      <c r="A13" s="6" t="s">
        <v>39</v>
      </c>
      <c r="B13" s="37">
        <f t="shared" si="0"/>
        <v>1850.8430000000001</v>
      </c>
      <c r="C13" s="33"/>
      <c r="D13" s="37">
        <f>IF( ISERROR(IND_papier_gas_kWh/1000),0,IND_papier_gas_kWh/1000)*0.902</f>
        <v>1049.963178</v>
      </c>
      <c r="E13" s="33">
        <f>C35*'E Balans VL '!I23/100/3.6*1000000</f>
        <v>3.8332207818942652</v>
      </c>
      <c r="F13" s="33">
        <f>C35*'E Balans VL '!L23/100/3.6*1000000+C35*'E Balans VL '!N23/100/3.6*1000000</f>
        <v>36.706184582020832</v>
      </c>
      <c r="G13" s="34"/>
      <c r="H13" s="33"/>
      <c r="I13" s="33"/>
      <c r="J13" s="40">
        <f>C35*'E Balans VL '!D23/100/3.6*1000000+C35*'E Balans VL '!E23/100/3.6*1000000</f>
        <v>0</v>
      </c>
      <c r="K13" s="33"/>
      <c r="L13" s="33"/>
      <c r="M13" s="33"/>
      <c r="N13" s="33">
        <f>C35*'E Balans VL '!Y23/100/3.6*1000000</f>
        <v>781.51451219685237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139.566</v>
      </c>
      <c r="C15" s="33"/>
      <c r="D15" s="37">
        <f>IF( ISERROR(IND_rest_gas_kWh/1000),0,IND_rest_gas_kWh/1000)*0.902</f>
        <v>507.61132399999997</v>
      </c>
      <c r="E15" s="33">
        <f>C37*'E Balans VL '!I15/100/3.6*1000000</f>
        <v>7.1001565189091469</v>
      </c>
      <c r="F15" s="33">
        <f>C37*'E Balans VL '!L15/100/3.6*1000000+C37*'E Balans VL '!N15/100/3.6*1000000</f>
        <v>31.812342461202334</v>
      </c>
      <c r="G15" s="34"/>
      <c r="H15" s="33"/>
      <c r="I15" s="33"/>
      <c r="J15" s="40">
        <f>C37*'E Balans VL '!D15/100/3.6*1000000+C37*'E Balans VL '!E15/100/3.6*1000000</f>
        <v>0.5855254771437074</v>
      </c>
      <c r="K15" s="33"/>
      <c r="L15" s="33"/>
      <c r="M15" s="33"/>
      <c r="N15" s="33">
        <f>C37*'E Balans VL '!Y15/100/3.6*1000000</f>
        <v>26.222201628847003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14456.450999999999</v>
      </c>
      <c r="C18" s="21">
        <f>C5+C16</f>
        <v>0</v>
      </c>
      <c r="D18" s="21">
        <f>MAX((D5+D16),0)</f>
        <v>3477.1667040000002</v>
      </c>
      <c r="E18" s="21">
        <f>MAX((E5+E16),0)</f>
        <v>616.88752242560838</v>
      </c>
      <c r="F18" s="21">
        <f>MAX((F5+F16),0)</f>
        <v>2605.1397376849536</v>
      </c>
      <c r="G18" s="21"/>
      <c r="H18" s="21"/>
      <c r="I18" s="21"/>
      <c r="J18" s="21">
        <f>MAX((J5+J16),0)</f>
        <v>5.5701201092702517</v>
      </c>
      <c r="K18" s="21"/>
      <c r="L18" s="21">
        <f>MAX((L5+L16),0)</f>
        <v>0</v>
      </c>
      <c r="M18" s="21"/>
      <c r="N18" s="21">
        <f>MAX((N5+N16),0)</f>
        <v>1681.9614441959611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0.18985223889773697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2744.5895888654286</v>
      </c>
      <c r="C22" s="23">
        <f ca="1">C18*C20</f>
        <v>0</v>
      </c>
      <c r="D22" s="23">
        <f>D18*D20</f>
        <v>702.38767420800013</v>
      </c>
      <c r="E22" s="23">
        <f>E18*E20</f>
        <v>140.0334675906131</v>
      </c>
      <c r="F22" s="23">
        <f>F18*F20</f>
        <v>695.57230996188264</v>
      </c>
      <c r="G22" s="23"/>
      <c r="H22" s="23"/>
      <c r="I22" s="23"/>
      <c r="J22" s="23">
        <f>J18*J20</f>
        <v>1.9718225186816689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285.44400000000002</v>
      </c>
      <c r="C30" s="39">
        <f>IF(ISERROR(B30*3.6/1000000/'E Balans VL '!Z18*100),0,B30*3.6/1000000/'E Balans VL '!Z18*100)</f>
        <v>3.9952647473612227E-2</v>
      </c>
      <c r="D30" s="237" t="s">
        <v>692</v>
      </c>
    </row>
    <row r="31" spans="1:18">
      <c r="A31" s="6" t="s">
        <v>33</v>
      </c>
      <c r="B31" s="37">
        <f>IF( ISERROR(IND_ander_ele_kWh/1000),0,IND_ander_ele_kWh/1000)</f>
        <v>2074.7469999999998</v>
      </c>
      <c r="C31" s="39">
        <f>IF(ISERROR(B31*3.6/1000000/'E Balans VL '!Z19*100),0,B31*3.6/1000000/'E Balans VL '!Z19*100)</f>
        <v>9.081133961821837E-2</v>
      </c>
      <c r="D31" s="237" t="s">
        <v>692</v>
      </c>
    </row>
    <row r="32" spans="1:18">
      <c r="A32" s="171" t="s">
        <v>41</v>
      </c>
      <c r="B32" s="37">
        <f>IF( ISERROR(IND_voed_ele_kWh/1000),0,IND_voed_ele_kWh/1000)</f>
        <v>196.839</v>
      </c>
      <c r="C32" s="39">
        <f>IF(ISERROR(B32*3.6/1000000/'E Balans VL '!Z20*100),0,B32*3.6/1000000/'E Balans VL '!Z20*100)</f>
        <v>4.8730799699235904E-2</v>
      </c>
      <c r="D32" s="237" t="s">
        <v>692</v>
      </c>
    </row>
    <row r="33" spans="1:5">
      <c r="A33" s="171" t="s">
        <v>40</v>
      </c>
      <c r="B33" s="37">
        <f>IF( ISERROR(IND_textiel_ele_kWh/1000),0,IND_textiel_ele_kWh/1000)</f>
        <v>9724.4979999999996</v>
      </c>
      <c r="C33" s="39">
        <f>IF(ISERROR(B33*3.6/1000000/'E Balans VL '!Z21*100),0,B33*3.6/1000000/'E Balans VL '!Z21*100)</f>
        <v>1.095779625989552</v>
      </c>
      <c r="D33" s="237" t="s">
        <v>692</v>
      </c>
    </row>
    <row r="34" spans="1:5">
      <c r="A34" s="171" t="s">
        <v>37</v>
      </c>
      <c r="B34" s="37">
        <f>IF( ISERROR(IND_min_ele_kWh/1000),0,IND_min_ele_kWh/1000)</f>
        <v>184.51400000000001</v>
      </c>
      <c r="C34" s="39">
        <f>IF(ISERROR(B34*3.6/1000000/'E Balans VL '!Z22*100),0,B34*3.6/1000000/'E Balans VL '!Z22*100)</f>
        <v>5.2357545433375716E-3</v>
      </c>
      <c r="D34" s="237" t="s">
        <v>692</v>
      </c>
    </row>
    <row r="35" spans="1:5">
      <c r="A35" s="171" t="s">
        <v>39</v>
      </c>
      <c r="B35" s="37">
        <f>IF( ISERROR(IND_papier_ele_kWh/1000),0,IND_papier_ele_kWh/1000)</f>
        <v>1850.8430000000001</v>
      </c>
      <c r="C35" s="39">
        <f>IF(ISERROR(B35*3.6/1000000/'E Balans VL '!Z22*100),0,B35*3.6/1000000/'E Balans VL '!Z22*100)</f>
        <v>5.2519373306386188E-2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139.566</v>
      </c>
      <c r="C37" s="39">
        <f>IF(ISERROR(B37*3.6/1000000/'E Balans VL '!Z15*100),0,B37*3.6/1000000/'E Balans VL '!Z15*100)</f>
        <v>1.0348579952896607E-3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3799.4690000000001</v>
      </c>
      <c r="C5" s="17">
        <f>'Eigen informatie GS &amp; warmtenet'!B60</f>
        <v>0</v>
      </c>
      <c r="D5" s="30">
        <f>IF(ISERROR(SUM(LB_lb_gas_kWh,LB_rest_gas_kWh,onbekend_gas_kWh)/1000),0,SUM(LB_lb_gas_kWh,LB_rest_gas_kWh,onbekend_gas_kWh)/1000)*0.902</f>
        <v>123.05535000000002</v>
      </c>
      <c r="E5" s="17">
        <f>B17*'E Balans VL '!I25/3.6*1000000/100</f>
        <v>35.192273241898427</v>
      </c>
      <c r="F5" s="17">
        <f>B17*('E Balans VL '!L25/3.6*1000000+'E Balans VL '!N25/3.6*1000000)/100</f>
        <v>9639.9766511017242</v>
      </c>
      <c r="G5" s="18"/>
      <c r="H5" s="17"/>
      <c r="I5" s="17"/>
      <c r="J5" s="17">
        <f>('E Balans VL '!D25+'E Balans VL '!E25)/3.6*1000000*landbouw!B17/100</f>
        <v>582.50099989779483</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3799.4690000000001</v>
      </c>
      <c r="C8" s="21">
        <f>C5+C6</f>
        <v>62.357142857142847</v>
      </c>
      <c r="D8" s="21">
        <f>MAX((D5+D6),0)</f>
        <v>123.05535000000002</v>
      </c>
      <c r="E8" s="21">
        <f>MAX((E5+E6),0)</f>
        <v>35.192273241898427</v>
      </c>
      <c r="F8" s="21">
        <f>MAX((F5+F6),0)</f>
        <v>9639.9766511017242</v>
      </c>
      <c r="G8" s="21"/>
      <c r="H8" s="21"/>
      <c r="I8" s="21"/>
      <c r="J8" s="21">
        <f>MAX((J5+J6),0)</f>
        <v>582.50099989779483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0.18985223889773697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721.33769627254583</v>
      </c>
      <c r="C12" s="23">
        <f ca="1">C8*C10</f>
        <v>0</v>
      </c>
      <c r="D12" s="23">
        <f>D8*D10</f>
        <v>24.857180700000004</v>
      </c>
      <c r="E12" s="23">
        <f>E8*E10</f>
        <v>7.9886460259109429</v>
      </c>
      <c r="F12" s="23">
        <f>F8*F10</f>
        <v>2573.8737658441605</v>
      </c>
      <c r="G12" s="23"/>
      <c r="H12" s="23"/>
      <c r="I12" s="23"/>
      <c r="J12" s="23">
        <f>J8*J10</f>
        <v>206.20535396381936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0.54020392913201776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968.67546854429509</v>
      </c>
      <c r="C26" s="247">
        <f>B26*'GWP N2O_CH4'!B5</f>
        <v>20342.184839430196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371.0609016290436</v>
      </c>
      <c r="C27" s="247">
        <f>B27*'GWP N2O_CH4'!B5</f>
        <v>7792.2789342099159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12.46836456427233</v>
      </c>
      <c r="C28" s="247">
        <f>B28*'GWP N2O_CH4'!B4</f>
        <v>3865.1930149244222</v>
      </c>
      <c r="D28" s="50"/>
    </row>
    <row r="29" spans="1:4">
      <c r="A29" s="41" t="s">
        <v>277</v>
      </c>
      <c r="B29" s="247">
        <f>B34*'ha_N2O bodem landbouw'!B4</f>
        <v>34.343455721693694</v>
      </c>
      <c r="C29" s="247">
        <f>B29*'GWP N2O_CH4'!B4</f>
        <v>10646.471273725045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7.7026320790573926E-3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6.168367357958596E-5</v>
      </c>
      <c r="C5" s="464" t="s">
        <v>211</v>
      </c>
      <c r="D5" s="449">
        <f>SUM(D6:D11)</f>
        <v>1.7788647030991223E-4</v>
      </c>
      <c r="E5" s="449">
        <f>SUM(E6:E11)</f>
        <v>1.117621102381811E-3</v>
      </c>
      <c r="F5" s="462" t="s">
        <v>211</v>
      </c>
      <c r="G5" s="449">
        <f>SUM(G6:G11)</f>
        <v>0.29748033379191091</v>
      </c>
      <c r="H5" s="449">
        <f>SUM(H6:H11)</f>
        <v>6.6830512783835047E-2</v>
      </c>
      <c r="I5" s="464" t="s">
        <v>211</v>
      </c>
      <c r="J5" s="464" t="s">
        <v>211</v>
      </c>
      <c r="K5" s="464" t="s">
        <v>211</v>
      </c>
      <c r="L5" s="464" t="s">
        <v>211</v>
      </c>
      <c r="M5" s="449">
        <f>SUM(M6:M11)</f>
        <v>1.9265191895948764E-2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4.1884320366830003E-5</v>
      </c>
      <c r="C6" s="450"/>
      <c r="D6" s="963">
        <f>vkm_2011_GW_PW*SUMIFS(TableVerdeelsleutelVkm[CNG],TableVerdeelsleutelVkm[Voertuigtype],"Lichte voertuigen")*SUMIFS(TableECFTransport[EnergieConsumptieFactor (PJ per km)],TableECFTransport[Index],CONCATENATE($A6,"_CNG_CNG"))</f>
        <v>9.688304428112964E-5</v>
      </c>
      <c r="E6" s="963">
        <f>vkm_2011_GW_PW*SUMIFS(TableVerdeelsleutelVkm[LPG],TableVerdeelsleutelVkm[Voertuigtype],"Lichte voertuigen")*SUMIFS(TableECFTransport[EnergieConsumptieFactor (PJ per km)],TableECFTransport[Index],CONCATENATE($A6,"_LPG_LPG"))</f>
        <v>6.3084387832706924E-4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0.13105314856916461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3.6941174287415779E-2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8.7180344851434804E-3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6.3746458683455853E-2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2.1800131180124378E-5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3.6880939661634387E-3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1.9799353212755954E-5</v>
      </c>
      <c r="C8" s="450"/>
      <c r="D8" s="452">
        <f>vkm_2011_NGW_PW*SUMIFS(TableVerdeelsleutelVkm[CNG],TableVerdeelsleutelVkm[Voertuigtype],"Lichte voertuigen")*SUMIFS(TableECFTransport[EnergieConsumptieFactor (PJ per km)],TableECFTransport[Index],CONCATENATE($A8,"_CNG_CNG"))</f>
        <v>8.1003426028782588E-5</v>
      </c>
      <c r="E8" s="452">
        <f>vkm_2011_NGW_PW*SUMIFS(TableVerdeelsleutelVkm[LPG],TableVerdeelsleutelVkm[Voertuigtype],"Lichte voertuigen")*SUMIFS(TableECFTransport[EnergieConsumptieFactor (PJ per km)],TableECFTransport[Index],CONCATENATE($A8,"_LPG_LPG"))</f>
        <v>4.8677722405474164E-4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9.4531421804279869E-2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2.9864901345155567E-2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6.3875845879084459E-3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8.1493047350105572E-3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2.637020083567834E-6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4.7147885673340162E-4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17.134353772107211</v>
      </c>
      <c r="C14" s="21"/>
      <c r="D14" s="21">
        <f t="shared" ref="D14:M14" si="0">((D5)*10^9/3600)+D12</f>
        <v>49.412908419420063</v>
      </c>
      <c r="E14" s="21">
        <f t="shared" si="0"/>
        <v>310.45030621716973</v>
      </c>
      <c r="F14" s="21"/>
      <c r="G14" s="21">
        <f t="shared" si="0"/>
        <v>82633.426053308576</v>
      </c>
      <c r="H14" s="21">
        <f t="shared" si="0"/>
        <v>18564.03132884307</v>
      </c>
      <c r="I14" s="21"/>
      <c r="J14" s="21"/>
      <c r="K14" s="21"/>
      <c r="L14" s="21"/>
      <c r="M14" s="21">
        <f t="shared" si="0"/>
        <v>5351.4421933191015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0.18985223889773697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3.2529954257004388</v>
      </c>
      <c r="C18" s="23"/>
      <c r="D18" s="23">
        <f t="shared" ref="D18:M18" si="1">D14*D16</f>
        <v>9.9814075007228542</v>
      </c>
      <c r="E18" s="23">
        <f t="shared" si="1"/>
        <v>70.472219511297524</v>
      </c>
      <c r="F18" s="23"/>
      <c r="G18" s="23">
        <f t="shared" si="1"/>
        <v>22063.124756233392</v>
      </c>
      <c r="H18" s="23">
        <f t="shared" si="1"/>
        <v>4622.4438008819243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9.4744782937371264E-3</v>
      </c>
      <c r="H50" s="321">
        <f t="shared" si="2"/>
        <v>0</v>
      </c>
      <c r="I50" s="321">
        <f t="shared" si="2"/>
        <v>0</v>
      </c>
      <c r="J50" s="321">
        <f t="shared" si="2"/>
        <v>0</v>
      </c>
      <c r="K50" s="321">
        <f t="shared" si="2"/>
        <v>0</v>
      </c>
      <c r="L50" s="321">
        <f t="shared" si="2"/>
        <v>0</v>
      </c>
      <c r="M50" s="321">
        <f t="shared" si="2"/>
        <v>5.4030187749559851E-4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9.4744782937371264E-3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5.4030187749559851E-4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2631.7995260380908</v>
      </c>
      <c r="H54" s="21">
        <f t="shared" si="3"/>
        <v>0</v>
      </c>
      <c r="I54" s="21">
        <f t="shared" si="3"/>
        <v>0</v>
      </c>
      <c r="J54" s="21">
        <f t="shared" si="3"/>
        <v>0</v>
      </c>
      <c r="K54" s="21">
        <f t="shared" si="3"/>
        <v>0</v>
      </c>
      <c r="L54" s="21">
        <f t="shared" si="3"/>
        <v>0</v>
      </c>
      <c r="M54" s="21">
        <f t="shared" si="3"/>
        <v>150.08385485988848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0.18985223889773697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702.69047345217029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10250.279405973597</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10293.929405973597</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72030</v>
      </c>
      <c r="C27" s="852">
        <v>3990</v>
      </c>
      <c r="D27" s="673" t="s">
        <v>871</v>
      </c>
      <c r="E27" s="672" t="s">
        <v>872</v>
      </c>
      <c r="F27" s="672" t="s">
        <v>873</v>
      </c>
      <c r="G27" s="672" t="s">
        <v>874</v>
      </c>
      <c r="H27" s="672" t="s">
        <v>875</v>
      </c>
      <c r="I27" s="672" t="s">
        <v>872</v>
      </c>
      <c r="J27" s="851">
        <v>41236</v>
      </c>
      <c r="K27" s="851">
        <v>41275</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25042.539999999997</v>
      </c>
      <c r="D10" s="719">
        <f ca="1">tertiair!C16</f>
        <v>0</v>
      </c>
      <c r="E10" s="719">
        <f ca="1">tertiair!D16</f>
        <v>35443.188901999994</v>
      </c>
      <c r="F10" s="719">
        <f>tertiair!E16</f>
        <v>408.90718481038709</v>
      </c>
      <c r="G10" s="719">
        <f ca="1">tertiair!F16</f>
        <v>4007.5922061252204</v>
      </c>
      <c r="H10" s="719">
        <f>tertiair!G16</f>
        <v>0</v>
      </c>
      <c r="I10" s="719">
        <f>tertiair!H16</f>
        <v>0</v>
      </c>
      <c r="J10" s="719">
        <f>tertiair!I16</f>
        <v>0</v>
      </c>
      <c r="K10" s="719">
        <f>tertiair!J16</f>
        <v>0</v>
      </c>
      <c r="L10" s="719">
        <f>tertiair!K16</f>
        <v>0</v>
      </c>
      <c r="M10" s="719">
        <f ca="1">tertiair!L16</f>
        <v>0</v>
      </c>
      <c r="N10" s="719">
        <f>tertiair!M16</f>
        <v>0</v>
      </c>
      <c r="O10" s="719">
        <f ca="1">tertiair!N16</f>
        <v>2392.4212965874449</v>
      </c>
      <c r="P10" s="719">
        <f>tertiair!O16</f>
        <v>3.1266666666666669</v>
      </c>
      <c r="Q10" s="720">
        <f>tertiair!P16</f>
        <v>0</v>
      </c>
      <c r="R10" s="722">
        <f ca="1">SUM(C10:Q10)</f>
        <v>67297.776256189696</v>
      </c>
      <c r="S10" s="67"/>
    </row>
    <row r="11" spans="1:19" s="475" customFormat="1">
      <c r="A11" s="871" t="s">
        <v>225</v>
      </c>
      <c r="B11" s="876"/>
      <c r="C11" s="719">
        <f>huishoudens!B8</f>
        <v>29722.027555909204</v>
      </c>
      <c r="D11" s="719">
        <f>huishoudens!C8</f>
        <v>0</v>
      </c>
      <c r="E11" s="719">
        <f>huishoudens!D8</f>
        <v>41596.942287999998</v>
      </c>
      <c r="F11" s="719">
        <f>huishoudens!E8</f>
        <v>3221.725450583293</v>
      </c>
      <c r="G11" s="719">
        <f>huishoudens!F8</f>
        <v>51093.97823824337</v>
      </c>
      <c r="H11" s="719">
        <f>huishoudens!G8</f>
        <v>0</v>
      </c>
      <c r="I11" s="719">
        <f>huishoudens!H8</f>
        <v>0</v>
      </c>
      <c r="J11" s="719">
        <f>huishoudens!I8</f>
        <v>0</v>
      </c>
      <c r="K11" s="719">
        <f>huishoudens!J8</f>
        <v>0</v>
      </c>
      <c r="L11" s="719">
        <f>huishoudens!K8</f>
        <v>0</v>
      </c>
      <c r="M11" s="719">
        <f>huishoudens!L8</f>
        <v>0</v>
      </c>
      <c r="N11" s="719">
        <f>huishoudens!M8</f>
        <v>0</v>
      </c>
      <c r="O11" s="719">
        <f>huishoudens!N8</f>
        <v>16641.244910672896</v>
      </c>
      <c r="P11" s="719">
        <f>huishoudens!O8</f>
        <v>418.97333333333341</v>
      </c>
      <c r="Q11" s="720">
        <f>huishoudens!P8</f>
        <v>1296.5333333333333</v>
      </c>
      <c r="R11" s="722">
        <f>SUM(C11:Q11)</f>
        <v>143991.42511007542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14456.450999999999</v>
      </c>
      <c r="D13" s="719">
        <f>industrie!C18</f>
        <v>0</v>
      </c>
      <c r="E13" s="719">
        <f>industrie!D18</f>
        <v>3477.1667040000002</v>
      </c>
      <c r="F13" s="719">
        <f>industrie!E18</f>
        <v>616.88752242560838</v>
      </c>
      <c r="G13" s="719">
        <f>industrie!F18</f>
        <v>2605.1397376849536</v>
      </c>
      <c r="H13" s="719">
        <f>industrie!G18</f>
        <v>0</v>
      </c>
      <c r="I13" s="719">
        <f>industrie!H18</f>
        <v>0</v>
      </c>
      <c r="J13" s="719">
        <f>industrie!I18</f>
        <v>0</v>
      </c>
      <c r="K13" s="719">
        <f>industrie!J18</f>
        <v>5.5701201092702517</v>
      </c>
      <c r="L13" s="719">
        <f>industrie!K18</f>
        <v>0</v>
      </c>
      <c r="M13" s="719">
        <f>industrie!L18</f>
        <v>0</v>
      </c>
      <c r="N13" s="719">
        <f>industrie!M18</f>
        <v>0</v>
      </c>
      <c r="O13" s="719">
        <f>industrie!N18</f>
        <v>1681.9614441959611</v>
      </c>
      <c r="P13" s="719">
        <f>industrie!O18</f>
        <v>0</v>
      </c>
      <c r="Q13" s="720">
        <f>industrie!P18</f>
        <v>0</v>
      </c>
      <c r="R13" s="722">
        <f>SUM(C13:Q13)</f>
        <v>22843.176528415792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69221.018555909206</v>
      </c>
      <c r="D15" s="724">
        <f t="shared" ref="D15:Q15" ca="1" si="0">SUM(D9:D14)</f>
        <v>0</v>
      </c>
      <c r="E15" s="724">
        <f t="shared" ca="1" si="0"/>
        <v>80517.297893999988</v>
      </c>
      <c r="F15" s="724">
        <f t="shared" si="0"/>
        <v>4247.5201578192882</v>
      </c>
      <c r="G15" s="724">
        <f t="shared" ca="1" si="0"/>
        <v>57706.710182053546</v>
      </c>
      <c r="H15" s="724">
        <f t="shared" si="0"/>
        <v>0</v>
      </c>
      <c r="I15" s="724">
        <f t="shared" si="0"/>
        <v>0</v>
      </c>
      <c r="J15" s="724">
        <f t="shared" si="0"/>
        <v>0</v>
      </c>
      <c r="K15" s="724">
        <f t="shared" si="0"/>
        <v>5.5701201092702517</v>
      </c>
      <c r="L15" s="724">
        <f t="shared" si="0"/>
        <v>0</v>
      </c>
      <c r="M15" s="724">
        <f t="shared" ca="1" si="0"/>
        <v>0</v>
      </c>
      <c r="N15" s="724">
        <f t="shared" si="0"/>
        <v>0</v>
      </c>
      <c r="O15" s="724">
        <f t="shared" ca="1" si="0"/>
        <v>20715.627651456303</v>
      </c>
      <c r="P15" s="724">
        <f t="shared" si="0"/>
        <v>422.10000000000008</v>
      </c>
      <c r="Q15" s="725">
        <f t="shared" si="0"/>
        <v>1296.5333333333333</v>
      </c>
      <c r="R15" s="726">
        <f ca="1">SUM(R9:R14)</f>
        <v>234132.37789468092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2631.7995260380908</v>
      </c>
      <c r="I18" s="719">
        <f>transport!H54</f>
        <v>0</v>
      </c>
      <c r="J18" s="719">
        <f>transport!I54</f>
        <v>0</v>
      </c>
      <c r="K18" s="719">
        <f>transport!J54</f>
        <v>0</v>
      </c>
      <c r="L18" s="719">
        <f>transport!K54</f>
        <v>0</v>
      </c>
      <c r="M18" s="719">
        <f>transport!L54</f>
        <v>0</v>
      </c>
      <c r="N18" s="719">
        <f>transport!M54</f>
        <v>150.08385485988848</v>
      </c>
      <c r="O18" s="719">
        <f>transport!N54</f>
        <v>0</v>
      </c>
      <c r="P18" s="719">
        <f>transport!O54</f>
        <v>0</v>
      </c>
      <c r="Q18" s="720">
        <f>transport!P54</f>
        <v>0</v>
      </c>
      <c r="R18" s="722">
        <f>SUM(C18:Q18)</f>
        <v>2781.8833808979794</v>
      </c>
      <c r="S18" s="67"/>
    </row>
    <row r="19" spans="1:19" s="475" customFormat="1" ht="15" thickBot="1">
      <c r="A19" s="871" t="s">
        <v>307</v>
      </c>
      <c r="B19" s="876"/>
      <c r="C19" s="728">
        <f>transport!B14</f>
        <v>17.134353772107211</v>
      </c>
      <c r="D19" s="728">
        <f>transport!C14</f>
        <v>0</v>
      </c>
      <c r="E19" s="728">
        <f>transport!D14</f>
        <v>49.412908419420063</v>
      </c>
      <c r="F19" s="728">
        <f>transport!E14</f>
        <v>310.45030621716973</v>
      </c>
      <c r="G19" s="728">
        <f>transport!F14</f>
        <v>0</v>
      </c>
      <c r="H19" s="728">
        <f>transport!G14</f>
        <v>82633.426053308576</v>
      </c>
      <c r="I19" s="728">
        <f>transport!H14</f>
        <v>18564.03132884307</v>
      </c>
      <c r="J19" s="728">
        <f>transport!I14</f>
        <v>0</v>
      </c>
      <c r="K19" s="728">
        <f>transport!J14</f>
        <v>0</v>
      </c>
      <c r="L19" s="728">
        <f>transport!K14</f>
        <v>0</v>
      </c>
      <c r="M19" s="728">
        <f>transport!L14</f>
        <v>0</v>
      </c>
      <c r="N19" s="728">
        <f>transport!M14</f>
        <v>5351.4421933191015</v>
      </c>
      <c r="O19" s="728">
        <f>transport!N14</f>
        <v>0</v>
      </c>
      <c r="P19" s="728">
        <f>transport!O14</f>
        <v>0</v>
      </c>
      <c r="Q19" s="729">
        <f>transport!P14</f>
        <v>0</v>
      </c>
      <c r="R19" s="730">
        <f>SUM(C19:Q19)</f>
        <v>106925.89714387945</v>
      </c>
      <c r="S19" s="67"/>
    </row>
    <row r="20" spans="1:19" s="475" customFormat="1" ht="15.75" thickBot="1">
      <c r="A20" s="731" t="s">
        <v>230</v>
      </c>
      <c r="B20" s="879"/>
      <c r="C20" s="874">
        <f>SUM(C17:C19)</f>
        <v>17.134353772107211</v>
      </c>
      <c r="D20" s="732">
        <f t="shared" ref="D20:R20" si="1">SUM(D17:D19)</f>
        <v>0</v>
      </c>
      <c r="E20" s="732">
        <f t="shared" si="1"/>
        <v>49.412908419420063</v>
      </c>
      <c r="F20" s="732">
        <f t="shared" si="1"/>
        <v>310.45030621716973</v>
      </c>
      <c r="G20" s="732">
        <f t="shared" si="1"/>
        <v>0</v>
      </c>
      <c r="H20" s="732">
        <f t="shared" si="1"/>
        <v>85265.225579346661</v>
      </c>
      <c r="I20" s="732">
        <f t="shared" si="1"/>
        <v>18564.03132884307</v>
      </c>
      <c r="J20" s="732">
        <f t="shared" si="1"/>
        <v>0</v>
      </c>
      <c r="K20" s="732">
        <f t="shared" si="1"/>
        <v>0</v>
      </c>
      <c r="L20" s="732">
        <f t="shared" si="1"/>
        <v>0</v>
      </c>
      <c r="M20" s="732">
        <f t="shared" si="1"/>
        <v>0</v>
      </c>
      <c r="N20" s="732">
        <f t="shared" si="1"/>
        <v>5501.5260481789901</v>
      </c>
      <c r="O20" s="732">
        <f t="shared" si="1"/>
        <v>0</v>
      </c>
      <c r="P20" s="732">
        <f t="shared" si="1"/>
        <v>0</v>
      </c>
      <c r="Q20" s="733">
        <f t="shared" si="1"/>
        <v>0</v>
      </c>
      <c r="R20" s="734">
        <f t="shared" si="1"/>
        <v>109707.78052477744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3799.4690000000001</v>
      </c>
      <c r="D22" s="728">
        <f>+landbouw!C8</f>
        <v>62.357142857142847</v>
      </c>
      <c r="E22" s="728">
        <f>+landbouw!D8</f>
        <v>123.05535000000002</v>
      </c>
      <c r="F22" s="728">
        <f>+landbouw!E8</f>
        <v>35.192273241898427</v>
      </c>
      <c r="G22" s="728">
        <f>+landbouw!F8</f>
        <v>9639.9766511017242</v>
      </c>
      <c r="H22" s="728">
        <f>+landbouw!G8</f>
        <v>0</v>
      </c>
      <c r="I22" s="728">
        <f>+landbouw!H8</f>
        <v>0</v>
      </c>
      <c r="J22" s="728">
        <f>+landbouw!I8</f>
        <v>0</v>
      </c>
      <c r="K22" s="728">
        <f>+landbouw!J8</f>
        <v>582.50099989779483</v>
      </c>
      <c r="L22" s="728">
        <f>+landbouw!K8</f>
        <v>0</v>
      </c>
      <c r="M22" s="728">
        <f>+landbouw!L8</f>
        <v>0</v>
      </c>
      <c r="N22" s="728">
        <f>+landbouw!M8</f>
        <v>0</v>
      </c>
      <c r="O22" s="728">
        <f>+landbouw!N8</f>
        <v>0</v>
      </c>
      <c r="P22" s="728">
        <f>+landbouw!O8</f>
        <v>0</v>
      </c>
      <c r="Q22" s="729">
        <f>+landbouw!P8</f>
        <v>0</v>
      </c>
      <c r="R22" s="730">
        <f>SUM(C22:Q22)</f>
        <v>14242.551417098561</v>
      </c>
      <c r="S22" s="67"/>
    </row>
    <row r="23" spans="1:19" s="475" customFormat="1" ht="17.25" thickTop="1" thickBot="1">
      <c r="A23" s="735" t="s">
        <v>116</v>
      </c>
      <c r="B23" s="865"/>
      <c r="C23" s="736">
        <f ca="1">C20+C15+C22</f>
        <v>73037.621909681315</v>
      </c>
      <c r="D23" s="736">
        <f t="shared" ref="D23:Q23" ca="1" si="2">D20+D15+D22</f>
        <v>62.357142857142847</v>
      </c>
      <c r="E23" s="736">
        <f t="shared" ca="1" si="2"/>
        <v>80689.766152419397</v>
      </c>
      <c r="F23" s="736">
        <f t="shared" si="2"/>
        <v>4593.1627372783569</v>
      </c>
      <c r="G23" s="736">
        <f t="shared" ca="1" si="2"/>
        <v>67346.686833155269</v>
      </c>
      <c r="H23" s="736">
        <f t="shared" si="2"/>
        <v>85265.225579346661</v>
      </c>
      <c r="I23" s="736">
        <f t="shared" si="2"/>
        <v>18564.03132884307</v>
      </c>
      <c r="J23" s="736">
        <f t="shared" si="2"/>
        <v>0</v>
      </c>
      <c r="K23" s="736">
        <f t="shared" si="2"/>
        <v>588.07112000706513</v>
      </c>
      <c r="L23" s="736">
        <f t="shared" si="2"/>
        <v>0</v>
      </c>
      <c r="M23" s="736">
        <f t="shared" ca="1" si="2"/>
        <v>0</v>
      </c>
      <c r="N23" s="736">
        <f t="shared" si="2"/>
        <v>5501.5260481789901</v>
      </c>
      <c r="O23" s="736">
        <f t="shared" ca="1" si="2"/>
        <v>20715.627651456303</v>
      </c>
      <c r="P23" s="736">
        <f t="shared" si="2"/>
        <v>422.10000000000008</v>
      </c>
      <c r="Q23" s="737">
        <f t="shared" si="2"/>
        <v>1296.5333333333333</v>
      </c>
      <c r="R23" s="738">
        <f ca="1">R20+R15+R22</f>
        <v>358082.70983655693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4754.3822866861337</v>
      </c>
      <c r="D36" s="719">
        <f ca="1">tertiair!C20</f>
        <v>0</v>
      </c>
      <c r="E36" s="719">
        <f ca="1">tertiair!D20</f>
        <v>7159.5241582039989</v>
      </c>
      <c r="F36" s="719">
        <f>tertiair!E20</f>
        <v>92.821930951957867</v>
      </c>
      <c r="G36" s="719">
        <f ca="1">tertiair!F20</f>
        <v>1070.027119035434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13076.755494877525</v>
      </c>
    </row>
    <row r="37" spans="1:18">
      <c r="A37" s="886" t="s">
        <v>225</v>
      </c>
      <c r="B37" s="893"/>
      <c r="C37" s="719">
        <f ca="1">huishoudens!B12</f>
        <v>5642.7934760695953</v>
      </c>
      <c r="D37" s="719">
        <f ca="1">huishoudens!C12</f>
        <v>0</v>
      </c>
      <c r="E37" s="719">
        <f>huishoudens!D12</f>
        <v>8402.5823421759997</v>
      </c>
      <c r="F37" s="719">
        <f>huishoudens!E12</f>
        <v>731.33167728240755</v>
      </c>
      <c r="G37" s="719">
        <f>huishoudens!F12</f>
        <v>13642.092189610981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28418.799685138983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2744.5895888654286</v>
      </c>
      <c r="D39" s="719">
        <f ca="1">industrie!C22</f>
        <v>0</v>
      </c>
      <c r="E39" s="719">
        <f>industrie!D22</f>
        <v>702.38767420800013</v>
      </c>
      <c r="F39" s="719">
        <f>industrie!E22</f>
        <v>140.0334675906131</v>
      </c>
      <c r="G39" s="719">
        <f>industrie!F22</f>
        <v>695.57230996188264</v>
      </c>
      <c r="H39" s="719">
        <f>industrie!G22</f>
        <v>0</v>
      </c>
      <c r="I39" s="719">
        <f>industrie!H22</f>
        <v>0</v>
      </c>
      <c r="J39" s="719">
        <f>industrie!I22</f>
        <v>0</v>
      </c>
      <c r="K39" s="719">
        <f>industrie!J22</f>
        <v>1.9718225186816689</v>
      </c>
      <c r="L39" s="719">
        <f>industrie!K22</f>
        <v>0</v>
      </c>
      <c r="M39" s="719">
        <f>industrie!L22</f>
        <v>0</v>
      </c>
      <c r="N39" s="719">
        <f>industrie!M22</f>
        <v>0</v>
      </c>
      <c r="O39" s="719">
        <f>industrie!N22</f>
        <v>0</v>
      </c>
      <c r="P39" s="719">
        <f>industrie!O22</f>
        <v>0</v>
      </c>
      <c r="Q39" s="829">
        <f>industrie!P22</f>
        <v>0</v>
      </c>
      <c r="R39" s="919">
        <f ca="1">SUM(C39:Q39)</f>
        <v>4284.5548631446063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13141.765351621158</v>
      </c>
      <c r="D41" s="764">
        <f t="shared" ref="D41:R41" ca="1" si="4">SUM(D35:D40)</f>
        <v>0</v>
      </c>
      <c r="E41" s="764">
        <f t="shared" ca="1" si="4"/>
        <v>16264.494174587999</v>
      </c>
      <c r="F41" s="764">
        <f t="shared" si="4"/>
        <v>964.18707582497848</v>
      </c>
      <c r="G41" s="764">
        <f t="shared" ca="1" si="4"/>
        <v>15407.691618608298</v>
      </c>
      <c r="H41" s="764">
        <f t="shared" si="4"/>
        <v>0</v>
      </c>
      <c r="I41" s="764">
        <f t="shared" si="4"/>
        <v>0</v>
      </c>
      <c r="J41" s="764">
        <f t="shared" si="4"/>
        <v>0</v>
      </c>
      <c r="K41" s="764">
        <f t="shared" si="4"/>
        <v>1.9718225186816689</v>
      </c>
      <c r="L41" s="764">
        <f t="shared" si="4"/>
        <v>0</v>
      </c>
      <c r="M41" s="764">
        <f t="shared" ca="1" si="4"/>
        <v>0</v>
      </c>
      <c r="N41" s="764">
        <f t="shared" si="4"/>
        <v>0</v>
      </c>
      <c r="O41" s="764">
        <f t="shared" ca="1" si="4"/>
        <v>0</v>
      </c>
      <c r="P41" s="764">
        <f t="shared" si="4"/>
        <v>0</v>
      </c>
      <c r="Q41" s="765">
        <f t="shared" si="4"/>
        <v>0</v>
      </c>
      <c r="R41" s="766">
        <f t="shared" ca="1" si="4"/>
        <v>45780.110043161119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702.69047345217029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702.69047345217029</v>
      </c>
    </row>
    <row r="45" spans="1:18" ht="15" thickBot="1">
      <c r="A45" s="889" t="s">
        <v>307</v>
      </c>
      <c r="B45" s="899"/>
      <c r="C45" s="728">
        <f ca="1">transport!B18</f>
        <v>3.2529954257004388</v>
      </c>
      <c r="D45" s="728">
        <f>transport!C18</f>
        <v>0</v>
      </c>
      <c r="E45" s="728">
        <f>transport!D18</f>
        <v>9.9814075007228542</v>
      </c>
      <c r="F45" s="728">
        <f>transport!E18</f>
        <v>70.472219511297524</v>
      </c>
      <c r="G45" s="728">
        <f>transport!F18</f>
        <v>0</v>
      </c>
      <c r="H45" s="728">
        <f>transport!G18</f>
        <v>22063.124756233392</v>
      </c>
      <c r="I45" s="728">
        <f>transport!H18</f>
        <v>4622.4438008819243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26769.275179553035</v>
      </c>
    </row>
    <row r="46" spans="1:18" ht="15.75" thickBot="1">
      <c r="A46" s="887" t="s">
        <v>230</v>
      </c>
      <c r="B46" s="900"/>
      <c r="C46" s="764">
        <f t="shared" ref="C46:R46" ca="1" si="5">SUM(C43:C45)</f>
        <v>3.2529954257004388</v>
      </c>
      <c r="D46" s="764">
        <f t="shared" ca="1" si="5"/>
        <v>0</v>
      </c>
      <c r="E46" s="764">
        <f t="shared" si="5"/>
        <v>9.9814075007228542</v>
      </c>
      <c r="F46" s="764">
        <f t="shared" si="5"/>
        <v>70.472219511297524</v>
      </c>
      <c r="G46" s="764">
        <f t="shared" si="5"/>
        <v>0</v>
      </c>
      <c r="H46" s="764">
        <f t="shared" si="5"/>
        <v>22765.815229685562</v>
      </c>
      <c r="I46" s="764">
        <f t="shared" si="5"/>
        <v>4622.4438008819243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27471.965653005205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721.33769627254583</v>
      </c>
      <c r="D48" s="719">
        <f ca="1">+landbouw!C12</f>
        <v>0</v>
      </c>
      <c r="E48" s="719">
        <f>+landbouw!D12</f>
        <v>24.857180700000004</v>
      </c>
      <c r="F48" s="719">
        <f>+landbouw!E12</f>
        <v>7.9886460259109429</v>
      </c>
      <c r="G48" s="719">
        <f>+landbouw!F12</f>
        <v>2573.8737658441605</v>
      </c>
      <c r="H48" s="719">
        <f>+landbouw!G12</f>
        <v>0</v>
      </c>
      <c r="I48" s="719">
        <f>+landbouw!H12</f>
        <v>0</v>
      </c>
      <c r="J48" s="719">
        <f>+landbouw!I12</f>
        <v>0</v>
      </c>
      <c r="K48" s="719">
        <f>+landbouw!J12</f>
        <v>206.20535396381936</v>
      </c>
      <c r="L48" s="719">
        <f>+landbouw!K12</f>
        <v>0</v>
      </c>
      <c r="M48" s="719">
        <f>+landbouw!L12</f>
        <v>0</v>
      </c>
      <c r="N48" s="719">
        <f>+landbouw!M12</f>
        <v>0</v>
      </c>
      <c r="O48" s="719">
        <f>+landbouw!N12</f>
        <v>0</v>
      </c>
      <c r="P48" s="719">
        <f>+landbouw!O12</f>
        <v>0</v>
      </c>
      <c r="Q48" s="720">
        <f>+landbouw!P12</f>
        <v>0</v>
      </c>
      <c r="R48" s="762">
        <f ca="1">SUM(C48:Q48)</f>
        <v>3534.2626428064368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13866.356043319403</v>
      </c>
      <c r="D53" s="774">
        <f t="shared" ref="D53:Q53" ca="1" si="6">D41+D46+D48</f>
        <v>0</v>
      </c>
      <c r="E53" s="774">
        <f t="shared" ca="1" si="6"/>
        <v>16299.332762788723</v>
      </c>
      <c r="F53" s="774">
        <f t="shared" si="6"/>
        <v>1042.6479413621869</v>
      </c>
      <c r="G53" s="774">
        <f t="shared" ca="1" si="6"/>
        <v>17981.565384452457</v>
      </c>
      <c r="H53" s="774">
        <f t="shared" si="6"/>
        <v>22765.815229685562</v>
      </c>
      <c r="I53" s="774">
        <f t="shared" si="6"/>
        <v>4622.4438008819243</v>
      </c>
      <c r="J53" s="774">
        <f t="shared" si="6"/>
        <v>0</v>
      </c>
      <c r="K53" s="774">
        <f t="shared" si="6"/>
        <v>208.17717648250104</v>
      </c>
      <c r="L53" s="774">
        <f t="shared" si="6"/>
        <v>0</v>
      </c>
      <c r="M53" s="774">
        <f t="shared" ca="1" si="6"/>
        <v>0</v>
      </c>
      <c r="N53" s="774">
        <f t="shared" si="6"/>
        <v>0</v>
      </c>
      <c r="O53" s="774">
        <f t="shared" ca="1" si="6"/>
        <v>0</v>
      </c>
      <c r="P53" s="774">
        <f>P41+P46+P48</f>
        <v>0</v>
      </c>
      <c r="Q53" s="775">
        <f t="shared" si="6"/>
        <v>0</v>
      </c>
      <c r="R53" s="776">
        <f ca="1">R41+R46+R48</f>
        <v>76786.338338972768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0.18985223889773695</v>
      </c>
      <c r="D55" s="837">
        <f t="shared" ca="1" si="7"/>
        <v>0</v>
      </c>
      <c r="E55" s="837">
        <f t="shared" ca="1" si="7"/>
        <v>0.20200000000000007</v>
      </c>
      <c r="F55" s="837">
        <f t="shared" si="7"/>
        <v>0.22699999999999998</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10250.279405973597</v>
      </c>
      <c r="C66" s="796">
        <f>'lokale energieproductie'!B6</f>
        <v>10250.279405973597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10293.929405973597</v>
      </c>
      <c r="C69" s="804">
        <f>SUM(C64:C68)</f>
        <v>10293.929405973597</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29722.027555909204</v>
      </c>
      <c r="C4" s="479">
        <f>huishoudens!C8</f>
        <v>0</v>
      </c>
      <c r="D4" s="479">
        <f>huishoudens!D8</f>
        <v>41596.942287999998</v>
      </c>
      <c r="E4" s="479">
        <f>huishoudens!E8</f>
        <v>3221.725450583293</v>
      </c>
      <c r="F4" s="479">
        <f>huishoudens!F8</f>
        <v>51093.97823824337</v>
      </c>
      <c r="G4" s="479">
        <f>huishoudens!G8</f>
        <v>0</v>
      </c>
      <c r="H4" s="479">
        <f>huishoudens!H8</f>
        <v>0</v>
      </c>
      <c r="I4" s="479">
        <f>huishoudens!I8</f>
        <v>0</v>
      </c>
      <c r="J4" s="479">
        <f>huishoudens!J8</f>
        <v>0</v>
      </c>
      <c r="K4" s="479">
        <f>huishoudens!K8</f>
        <v>0</v>
      </c>
      <c r="L4" s="479">
        <f>huishoudens!L8</f>
        <v>0</v>
      </c>
      <c r="M4" s="479">
        <f>huishoudens!M8</f>
        <v>0</v>
      </c>
      <c r="N4" s="479">
        <f>huishoudens!N8</f>
        <v>16641.244910672896</v>
      </c>
      <c r="O4" s="479">
        <f>huishoudens!O8</f>
        <v>418.97333333333341</v>
      </c>
      <c r="P4" s="480">
        <f>huishoudens!P8</f>
        <v>1296.5333333333333</v>
      </c>
      <c r="Q4" s="481">
        <f>SUM(B4:P4)</f>
        <v>143991.42511007542</v>
      </c>
    </row>
    <row r="5" spans="1:17">
      <c r="A5" s="478" t="s">
        <v>156</v>
      </c>
      <c r="B5" s="479">
        <f ca="1">tertiair!B16</f>
        <v>23979.921999999999</v>
      </c>
      <c r="C5" s="479">
        <f ca="1">tertiair!C16</f>
        <v>0</v>
      </c>
      <c r="D5" s="479">
        <f ca="1">tertiair!D16</f>
        <v>35443.188901999994</v>
      </c>
      <c r="E5" s="479">
        <f>tertiair!E16</f>
        <v>408.90718481038709</v>
      </c>
      <c r="F5" s="479">
        <f ca="1">tertiair!F16</f>
        <v>4007.5922061252204</v>
      </c>
      <c r="G5" s="479">
        <f>tertiair!G16</f>
        <v>0</v>
      </c>
      <c r="H5" s="479">
        <f>tertiair!H16</f>
        <v>0</v>
      </c>
      <c r="I5" s="479">
        <f>tertiair!I16</f>
        <v>0</v>
      </c>
      <c r="J5" s="479">
        <f>tertiair!J16</f>
        <v>0</v>
      </c>
      <c r="K5" s="479">
        <f>tertiair!K16</f>
        <v>0</v>
      </c>
      <c r="L5" s="479">
        <f ca="1">tertiair!L16</f>
        <v>0</v>
      </c>
      <c r="M5" s="479">
        <f>tertiair!M16</f>
        <v>0</v>
      </c>
      <c r="N5" s="479">
        <f ca="1">tertiair!N16</f>
        <v>2392.4212965874449</v>
      </c>
      <c r="O5" s="479">
        <f>tertiair!O16</f>
        <v>3.1266666666666669</v>
      </c>
      <c r="P5" s="480">
        <f>tertiair!P16</f>
        <v>0</v>
      </c>
      <c r="Q5" s="478">
        <f t="shared" ref="Q5:Q13" ca="1" si="0">SUM(B5:P5)</f>
        <v>66235.158256189708</v>
      </c>
    </row>
    <row r="6" spans="1:17">
      <c r="A6" s="478" t="s">
        <v>194</v>
      </c>
      <c r="B6" s="479">
        <f>'openbare verlichting'!B8</f>
        <v>1062.6179999999999</v>
      </c>
      <c r="C6" s="479"/>
      <c r="D6" s="479"/>
      <c r="E6" s="479"/>
      <c r="F6" s="479"/>
      <c r="G6" s="479"/>
      <c r="H6" s="479"/>
      <c r="I6" s="479"/>
      <c r="J6" s="479"/>
      <c r="K6" s="479"/>
      <c r="L6" s="479"/>
      <c r="M6" s="479"/>
      <c r="N6" s="479"/>
      <c r="O6" s="479"/>
      <c r="P6" s="480"/>
      <c r="Q6" s="478">
        <f t="shared" si="0"/>
        <v>1062.6179999999999</v>
      </c>
    </row>
    <row r="7" spans="1:17">
      <c r="A7" s="478" t="s">
        <v>112</v>
      </c>
      <c r="B7" s="479">
        <f>landbouw!B8</f>
        <v>3799.4690000000001</v>
      </c>
      <c r="C7" s="479">
        <f>landbouw!C8</f>
        <v>62.357142857142847</v>
      </c>
      <c r="D7" s="479">
        <f>landbouw!D8</f>
        <v>123.05535000000002</v>
      </c>
      <c r="E7" s="479">
        <f>landbouw!E8</f>
        <v>35.192273241898427</v>
      </c>
      <c r="F7" s="479">
        <f>landbouw!F8</f>
        <v>9639.9766511017242</v>
      </c>
      <c r="G7" s="479">
        <f>landbouw!G8</f>
        <v>0</v>
      </c>
      <c r="H7" s="479">
        <f>landbouw!H8</f>
        <v>0</v>
      </c>
      <c r="I7" s="479">
        <f>landbouw!I8</f>
        <v>0</v>
      </c>
      <c r="J7" s="479">
        <f>landbouw!J8</f>
        <v>582.50099989779483</v>
      </c>
      <c r="K7" s="479">
        <f>landbouw!K8</f>
        <v>0</v>
      </c>
      <c r="L7" s="479">
        <f>landbouw!L8</f>
        <v>0</v>
      </c>
      <c r="M7" s="479">
        <f>landbouw!M8</f>
        <v>0</v>
      </c>
      <c r="N7" s="479">
        <f>landbouw!N8</f>
        <v>0</v>
      </c>
      <c r="O7" s="479">
        <f>landbouw!O8</f>
        <v>0</v>
      </c>
      <c r="P7" s="480">
        <f>landbouw!P8</f>
        <v>0</v>
      </c>
      <c r="Q7" s="478">
        <f t="shared" si="0"/>
        <v>14242.551417098561</v>
      </c>
    </row>
    <row r="8" spans="1:17">
      <c r="A8" s="478" t="s">
        <v>650</v>
      </c>
      <c r="B8" s="479">
        <f>industrie!B18</f>
        <v>14456.450999999999</v>
      </c>
      <c r="C8" s="479">
        <f>industrie!C18</f>
        <v>0</v>
      </c>
      <c r="D8" s="479">
        <f>industrie!D18</f>
        <v>3477.1667040000002</v>
      </c>
      <c r="E8" s="479">
        <f>industrie!E18</f>
        <v>616.88752242560838</v>
      </c>
      <c r="F8" s="479">
        <f>industrie!F18</f>
        <v>2605.1397376849536</v>
      </c>
      <c r="G8" s="479">
        <f>industrie!G18</f>
        <v>0</v>
      </c>
      <c r="H8" s="479">
        <f>industrie!H18</f>
        <v>0</v>
      </c>
      <c r="I8" s="479">
        <f>industrie!I18</f>
        <v>0</v>
      </c>
      <c r="J8" s="479">
        <f>industrie!J18</f>
        <v>5.5701201092702517</v>
      </c>
      <c r="K8" s="479">
        <f>industrie!K18</f>
        <v>0</v>
      </c>
      <c r="L8" s="479">
        <f>industrie!L18</f>
        <v>0</v>
      </c>
      <c r="M8" s="479">
        <f>industrie!M18</f>
        <v>0</v>
      </c>
      <c r="N8" s="479">
        <f>industrie!N18</f>
        <v>1681.9614441959611</v>
      </c>
      <c r="O8" s="479">
        <f>industrie!O18</f>
        <v>0</v>
      </c>
      <c r="P8" s="480">
        <f>industrie!P18</f>
        <v>0</v>
      </c>
      <c r="Q8" s="478">
        <f t="shared" si="0"/>
        <v>22843.176528415792</v>
      </c>
    </row>
    <row r="9" spans="1:17" s="484" customFormat="1">
      <c r="A9" s="482" t="s">
        <v>571</v>
      </c>
      <c r="B9" s="483">
        <f>transport!B14</f>
        <v>17.134353772107211</v>
      </c>
      <c r="C9" s="483"/>
      <c r="D9" s="483">
        <f>transport!D14</f>
        <v>49.412908419420063</v>
      </c>
      <c r="E9" s="483">
        <f>transport!E14</f>
        <v>310.45030621716973</v>
      </c>
      <c r="F9" s="483"/>
      <c r="G9" s="483">
        <f>transport!G14</f>
        <v>82633.426053308576</v>
      </c>
      <c r="H9" s="483">
        <f>transport!H14</f>
        <v>18564.03132884307</v>
      </c>
      <c r="I9" s="483"/>
      <c r="J9" s="483"/>
      <c r="K9" s="483"/>
      <c r="L9" s="483"/>
      <c r="M9" s="483">
        <f>transport!M14</f>
        <v>5351.4421933191015</v>
      </c>
      <c r="N9" s="483"/>
      <c r="O9" s="483"/>
      <c r="P9" s="483"/>
      <c r="Q9" s="482">
        <f>SUM(B9:P9)</f>
        <v>106925.89714387945</v>
      </c>
    </row>
    <row r="10" spans="1:17">
      <c r="A10" s="478" t="s">
        <v>561</v>
      </c>
      <c r="B10" s="479">
        <f>transport!B54</f>
        <v>0</v>
      </c>
      <c r="C10" s="479"/>
      <c r="D10" s="479">
        <f>transport!D54</f>
        <v>0</v>
      </c>
      <c r="E10" s="479"/>
      <c r="F10" s="479"/>
      <c r="G10" s="479">
        <f>transport!G54</f>
        <v>2631.7995260380908</v>
      </c>
      <c r="H10" s="479"/>
      <c r="I10" s="479"/>
      <c r="J10" s="479"/>
      <c r="K10" s="479"/>
      <c r="L10" s="479"/>
      <c r="M10" s="479">
        <f>transport!M54</f>
        <v>150.08385485988848</v>
      </c>
      <c r="N10" s="479"/>
      <c r="O10" s="479"/>
      <c r="P10" s="480"/>
      <c r="Q10" s="478">
        <f t="shared" si="0"/>
        <v>2781.8833808979794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73037.621909681315</v>
      </c>
      <c r="C14" s="489">
        <f t="shared" ref="C14:Q14" ca="1" si="1">SUM(C4:C13)</f>
        <v>62.357142857142847</v>
      </c>
      <c r="D14" s="489">
        <f t="shared" ca="1" si="1"/>
        <v>80689.766152419397</v>
      </c>
      <c r="E14" s="489">
        <f t="shared" si="1"/>
        <v>4593.1627372783569</v>
      </c>
      <c r="F14" s="489">
        <f t="shared" ca="1" si="1"/>
        <v>67346.686833155269</v>
      </c>
      <c r="G14" s="489">
        <f t="shared" si="1"/>
        <v>85265.225579346661</v>
      </c>
      <c r="H14" s="489">
        <f t="shared" si="1"/>
        <v>18564.03132884307</v>
      </c>
      <c r="I14" s="489">
        <f t="shared" si="1"/>
        <v>0</v>
      </c>
      <c r="J14" s="489">
        <f t="shared" si="1"/>
        <v>588.07112000706513</v>
      </c>
      <c r="K14" s="489">
        <f t="shared" si="1"/>
        <v>0</v>
      </c>
      <c r="L14" s="489">
        <f t="shared" ca="1" si="1"/>
        <v>0</v>
      </c>
      <c r="M14" s="489">
        <f t="shared" si="1"/>
        <v>5501.5260481789901</v>
      </c>
      <c r="N14" s="489">
        <f t="shared" ca="1" si="1"/>
        <v>20715.627651456303</v>
      </c>
      <c r="O14" s="489">
        <f t="shared" si="1"/>
        <v>422.10000000000008</v>
      </c>
      <c r="P14" s="490">
        <f t="shared" si="1"/>
        <v>1296.5333333333333</v>
      </c>
      <c r="Q14" s="490">
        <f t="shared" ca="1" si="1"/>
        <v>358082.70983655687</v>
      </c>
    </row>
    <row r="16" spans="1:17">
      <c r="A16" s="492" t="s">
        <v>566</v>
      </c>
      <c r="B16" s="842">
        <f ca="1">huishoudens!B10</f>
        <v>0.18985223889773697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5642.7934760695953</v>
      </c>
      <c r="C21" s="479">
        <f t="shared" ref="C21:C28" ca="1" si="3">C4*$C$16</f>
        <v>0</v>
      </c>
      <c r="D21" s="479">
        <f t="shared" ref="D21:D30" si="4">D4*$D$16</f>
        <v>8402.5823421759997</v>
      </c>
      <c r="E21" s="479">
        <f t="shared" ref="E21:E30" si="5">E4*$E$16</f>
        <v>731.33167728240755</v>
      </c>
      <c r="F21" s="479">
        <f t="shared" ref="F21:F28" si="6">F4*$F$16</f>
        <v>13642.092189610981</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28418.799685138983</v>
      </c>
    </row>
    <row r="22" spans="1:17">
      <c r="A22" s="478" t="s">
        <v>156</v>
      </c>
      <c r="B22" s="479">
        <f t="shared" ca="1" si="2"/>
        <v>4552.6418802930984</v>
      </c>
      <c r="C22" s="479">
        <f t="shared" ca="1" si="3"/>
        <v>0</v>
      </c>
      <c r="D22" s="479">
        <f t="shared" ca="1" si="4"/>
        <v>7159.5241582039989</v>
      </c>
      <c r="E22" s="479">
        <f t="shared" si="5"/>
        <v>92.821930951957867</v>
      </c>
      <c r="F22" s="479">
        <f t="shared" ca="1" si="6"/>
        <v>1070.027119035434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12875.015088484488</v>
      </c>
    </row>
    <row r="23" spans="1:17">
      <c r="A23" s="478" t="s">
        <v>194</v>
      </c>
      <c r="B23" s="479">
        <f t="shared" ca="1" si="2"/>
        <v>201.74040639303544</v>
      </c>
      <c r="C23" s="479"/>
      <c r="D23" s="479"/>
      <c r="E23" s="479"/>
      <c r="F23" s="479"/>
      <c r="G23" s="479"/>
      <c r="H23" s="479"/>
      <c r="I23" s="479"/>
      <c r="J23" s="479"/>
      <c r="K23" s="479"/>
      <c r="L23" s="479"/>
      <c r="M23" s="479"/>
      <c r="N23" s="479"/>
      <c r="O23" s="479"/>
      <c r="P23" s="480"/>
      <c r="Q23" s="478">
        <f t="shared" ca="1" si="17"/>
        <v>201.74040639303544</v>
      </c>
    </row>
    <row r="24" spans="1:17">
      <c r="A24" s="478" t="s">
        <v>112</v>
      </c>
      <c r="B24" s="479">
        <f t="shared" ca="1" si="2"/>
        <v>721.33769627254583</v>
      </c>
      <c r="C24" s="479">
        <f t="shared" ca="1" si="3"/>
        <v>0</v>
      </c>
      <c r="D24" s="479">
        <f t="shared" si="4"/>
        <v>24.857180700000004</v>
      </c>
      <c r="E24" s="479">
        <f t="shared" si="5"/>
        <v>7.9886460259109429</v>
      </c>
      <c r="F24" s="479">
        <f t="shared" si="6"/>
        <v>2573.8737658441605</v>
      </c>
      <c r="G24" s="479">
        <f t="shared" si="7"/>
        <v>0</v>
      </c>
      <c r="H24" s="479">
        <f t="shared" si="8"/>
        <v>0</v>
      </c>
      <c r="I24" s="479">
        <f t="shared" si="9"/>
        <v>0</v>
      </c>
      <c r="J24" s="479">
        <f t="shared" si="10"/>
        <v>206.20535396381936</v>
      </c>
      <c r="K24" s="479">
        <f t="shared" si="11"/>
        <v>0</v>
      </c>
      <c r="L24" s="479">
        <f t="shared" si="12"/>
        <v>0</v>
      </c>
      <c r="M24" s="479">
        <f t="shared" si="13"/>
        <v>0</v>
      </c>
      <c r="N24" s="479">
        <f t="shared" si="14"/>
        <v>0</v>
      </c>
      <c r="O24" s="479">
        <f t="shared" si="15"/>
        <v>0</v>
      </c>
      <c r="P24" s="480">
        <f t="shared" si="16"/>
        <v>0</v>
      </c>
      <c r="Q24" s="478">
        <f t="shared" ca="1" si="17"/>
        <v>3534.2626428064368</v>
      </c>
    </row>
    <row r="25" spans="1:17">
      <c r="A25" s="478" t="s">
        <v>650</v>
      </c>
      <c r="B25" s="479">
        <f t="shared" ca="1" si="2"/>
        <v>2744.5895888654286</v>
      </c>
      <c r="C25" s="479">
        <f t="shared" ca="1" si="3"/>
        <v>0</v>
      </c>
      <c r="D25" s="479">
        <f t="shared" si="4"/>
        <v>702.38767420800013</v>
      </c>
      <c r="E25" s="479">
        <f t="shared" si="5"/>
        <v>140.0334675906131</v>
      </c>
      <c r="F25" s="479">
        <f t="shared" si="6"/>
        <v>695.57230996188264</v>
      </c>
      <c r="G25" s="479">
        <f t="shared" si="7"/>
        <v>0</v>
      </c>
      <c r="H25" s="479">
        <f t="shared" si="8"/>
        <v>0</v>
      </c>
      <c r="I25" s="479">
        <f t="shared" si="9"/>
        <v>0</v>
      </c>
      <c r="J25" s="479">
        <f t="shared" si="10"/>
        <v>1.9718225186816689</v>
      </c>
      <c r="K25" s="479">
        <f t="shared" si="11"/>
        <v>0</v>
      </c>
      <c r="L25" s="479">
        <f t="shared" si="12"/>
        <v>0</v>
      </c>
      <c r="M25" s="479">
        <f t="shared" si="13"/>
        <v>0</v>
      </c>
      <c r="N25" s="479">
        <f t="shared" si="14"/>
        <v>0</v>
      </c>
      <c r="O25" s="479">
        <f t="shared" si="15"/>
        <v>0</v>
      </c>
      <c r="P25" s="480">
        <f t="shared" si="16"/>
        <v>0</v>
      </c>
      <c r="Q25" s="478">
        <f t="shared" ca="1" si="17"/>
        <v>4284.5548631446063</v>
      </c>
    </row>
    <row r="26" spans="1:17" s="484" customFormat="1">
      <c r="A26" s="482" t="s">
        <v>571</v>
      </c>
      <c r="B26" s="836">
        <f t="shared" ca="1" si="2"/>
        <v>3.2529954257004388</v>
      </c>
      <c r="C26" s="483"/>
      <c r="D26" s="483">
        <f t="shared" si="4"/>
        <v>9.9814075007228542</v>
      </c>
      <c r="E26" s="483">
        <f t="shared" si="5"/>
        <v>70.472219511297524</v>
      </c>
      <c r="F26" s="483"/>
      <c r="G26" s="483">
        <f t="shared" si="7"/>
        <v>22063.124756233392</v>
      </c>
      <c r="H26" s="483">
        <f t="shared" si="8"/>
        <v>4622.4438008819243</v>
      </c>
      <c r="I26" s="483"/>
      <c r="J26" s="483"/>
      <c r="K26" s="483"/>
      <c r="L26" s="483"/>
      <c r="M26" s="483">
        <f t="shared" si="13"/>
        <v>0</v>
      </c>
      <c r="N26" s="483"/>
      <c r="O26" s="483"/>
      <c r="P26" s="494"/>
      <c r="Q26" s="482">
        <f t="shared" ca="1" si="17"/>
        <v>26769.275179553035</v>
      </c>
    </row>
    <row r="27" spans="1:17">
      <c r="A27" s="478" t="s">
        <v>561</v>
      </c>
      <c r="B27" s="479">
        <f t="shared" ca="1" si="2"/>
        <v>0</v>
      </c>
      <c r="C27" s="479"/>
      <c r="D27" s="483">
        <f t="shared" si="4"/>
        <v>0</v>
      </c>
      <c r="E27" s="479"/>
      <c r="F27" s="479"/>
      <c r="G27" s="479">
        <f t="shared" si="7"/>
        <v>702.69047345217029</v>
      </c>
      <c r="H27" s="479"/>
      <c r="I27" s="479"/>
      <c r="J27" s="479"/>
      <c r="K27" s="479"/>
      <c r="L27" s="479"/>
      <c r="M27" s="479">
        <f t="shared" si="13"/>
        <v>0</v>
      </c>
      <c r="N27" s="479"/>
      <c r="O27" s="479"/>
      <c r="P27" s="480"/>
      <c r="Q27" s="478">
        <f t="shared" ca="1" si="17"/>
        <v>702.69047345217029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13866.356043319403</v>
      </c>
      <c r="C31" s="489">
        <f t="shared" ca="1" si="18"/>
        <v>0</v>
      </c>
      <c r="D31" s="489">
        <f t="shared" ca="1" si="18"/>
        <v>16299.332762788723</v>
      </c>
      <c r="E31" s="489">
        <f t="shared" si="18"/>
        <v>1042.6479413621869</v>
      </c>
      <c r="F31" s="489">
        <f t="shared" ca="1" si="18"/>
        <v>17981.565384452457</v>
      </c>
      <c r="G31" s="489">
        <f t="shared" si="18"/>
        <v>22765.815229685562</v>
      </c>
      <c r="H31" s="489">
        <f t="shared" si="18"/>
        <v>4622.4438008819243</v>
      </c>
      <c r="I31" s="489">
        <f t="shared" si="18"/>
        <v>0</v>
      </c>
      <c r="J31" s="489">
        <f t="shared" si="18"/>
        <v>208.17717648250104</v>
      </c>
      <c r="K31" s="489">
        <f t="shared" si="18"/>
        <v>0</v>
      </c>
      <c r="L31" s="489">
        <f t="shared" ca="1" si="18"/>
        <v>0</v>
      </c>
      <c r="M31" s="489">
        <f t="shared" si="18"/>
        <v>0</v>
      </c>
      <c r="N31" s="489">
        <f t="shared" ca="1" si="18"/>
        <v>0</v>
      </c>
      <c r="O31" s="489">
        <f t="shared" si="18"/>
        <v>0</v>
      </c>
      <c r="P31" s="490">
        <f t="shared" si="18"/>
        <v>0</v>
      </c>
      <c r="Q31" s="490">
        <f t="shared" ca="1" si="18"/>
        <v>76786.338338972753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0.18985223889773697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0.18985223889773697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0.18985223889773697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2019-01-01T21:34:35Z</dcterms:modified>
</cp:coreProperties>
</file>