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67" i="14" l="1"/>
  <c r="J69" s="1"/>
  <c r="D31" i="48"/>
  <c r="N20" i="14"/>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C67" i="14"/>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O13" i="14" l="1"/>
  <c r="O15" s="1"/>
  <c r="K13"/>
  <c r="R13" s="1"/>
  <c r="R15" s="1"/>
  <c r="E8" i="48"/>
  <c r="E25" s="1"/>
  <c r="E31" s="1"/>
  <c r="N22" i="16"/>
  <c r="O39" i="14" s="1"/>
  <c r="O41" s="1"/>
  <c r="O53"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<sst xmlns="http://schemas.openxmlformats.org/spreadsheetml/2006/main" count="2137" uniqueCount="871">
  <si>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</si>
  <si>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</si>
  <si>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</si>
  <si>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</si>
  <si>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</si>
  <si>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</si>
  <si>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</si>
  <si>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</si>
  <si>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</si>
  <si>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</si>
  <si>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</si>
  <si>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</si>
  <si>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</si>
  <si>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</si>
  <si>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</si>
  <si>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</si>
  <si>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</si>
  <si>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</si>
  <si>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</si>
  <si>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</si>
  <si>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</si>
  <si>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</si>
  <si>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</si>
  <si>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</si>
  <si>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</si>
  <si>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</si>
  <si>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</si>
  <si>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</si>
  <si>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</si>
  <si>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</si>
  <si>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</si>
  <si>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</si>
  <si>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</si>
  <si>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</si>
  <si>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</si>
  <si>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</si>
  <si>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</si>
  <si>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</si>
  <si>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</si>
  <si>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</si>
  <si>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</si>
  <si>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</si>
  <si>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</si>
  <si>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</si>
  <si>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</si>
  <si>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</si>
  <si>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</si>
  <si>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</si>
  <si>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</si>
  <si>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</si>
  <si>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</si>
  <si>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</si>
  <si>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</si>
  <si>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</si>
  <si>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</si>
  <si>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</si>
  <si>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</si>
  <si>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</si>
  <si>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</si>
  <si>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</si>
  <si>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</si>
  <si>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</si>
  <si>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</si>
  <si>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</si>
  <si>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</si>
  <si>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</si>
  <si>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</si>
  <si>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</si>
  <si>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</si>
  <si>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</si>
  <si>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</si>
  <si>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</si>
  <si>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</si>
  <si>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</si>
  <si>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</si>
  <si>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</si>
  <si>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</si>
  <si>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</si>
  <si>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</si>
  <si>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</si>
  <si>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</si>
  <si>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</si>
  <si>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</si>
  <si>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</si>
  <si>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</si>
  <si>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</si>
  <si>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</si>
  <si>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</si>
  <si>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</si>
  <si>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</si>
  <si>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</si>
  <si>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</si>
  <si>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</si>
  <si>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</si>
  <si>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</si>
  <si>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</si>
  <si>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</si>
  <si>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</si>
  <si>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</si>
  <si>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</si>
  <si>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</si>
  <si>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</si>
  <si>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</si>
  <si>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</si>
  <si>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</si>
  <si>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</si>
  <si>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</si>
  <si>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</si>
  <si>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</si>
  <si>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</si>
  <si>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</si>
  <si>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</si>
  <si>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</si>
  <si>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</si>
  <si>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</si>
  <si>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</si>
  <si>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</si>
  <si>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</si>
  <si>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</si>
  <si>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</si>
  <si>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</si>
  <si>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</si>
  <si>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</si>
  <si>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</si>
  <si>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</si>
  <si>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</si>
  <si>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</si>
  <si>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</si>
  <si>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</si>
  <si>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</si>
  <si>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</si>
  <si>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</si>
  <si>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</si>
  <si>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</si>
  <si>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</si>
  <si>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</si>
  <si>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</si>
  <si>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</si>
  <si>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</si>
  <si>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</si>
  <si>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</si>
  <si>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</si>
  <si>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</si>
  <si>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</si>
  <si>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</si>
  <si>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</si>
  <si>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</si>
  <si>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</si>
  <si>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</si>
  <si>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</si>
  <si>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</si>
  <si>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</si>
  <si>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</si>
  <si>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</si>
  <si>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</si>
  <si>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</si>
  <si>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</si>
  <si>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</si>
  <si>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</si>
  <si>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</si>
  <si>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</si>
  <si>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</si>
  <si>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</si>
  <si>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</si>
  <si>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</si>
  <si>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</si>
  <si>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</si>
  <si>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</si>
  <si>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</si>
  <si>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</si>
  <si>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</si>
  <si>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</si>
  <si>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</si>
  <si>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</si>
  <si>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</si>
  <si>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</si>
  <si>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</si>
  <si>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</si>
  <si>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</si>
  <si>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</si>
  <si>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</si>
  <si>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</si>
  <si>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</si>
  <si>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</si>
  <si>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</si>
  <si>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</si>
  <si>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</si>
  <si>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</si>
  <si>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</si>
  <si>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</si>
  <si>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</si>
  <si>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</si>
  <si>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</si>
  <si>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</si>
  <si>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</si>
  <si>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</si>
  <si>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</si>
  <si>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</si>
  <si>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</si>
  <si>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</si>
  <si>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</si>
  <si>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</si>
  <si>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</si>
  <si>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</si>
  <si>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</si>
  <si>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</si>
  <si>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</si>
  <si>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</si>
  <si>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</si>
  <si>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</si>
  <si>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</si>
  <si>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</si>
  <si>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</si>
  <si>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</si>
  <si>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</si>
  <si>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</si>
  <si>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</si>
  <si>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</si>
  <si>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</si>
  <si>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</si>
  <si>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</si>
  <si>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</si>
  <si>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</si>
  <si>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</si>
  <si>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</si>
  <si>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</si>
  <si>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</si>
  <si>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</si>
  <si>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</si>
  <si>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</si>
  <si>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</si>
  <si>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</si>
  <si>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</si>
  <si>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</si>
  <si>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</si>
  <si>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</si>
  <si>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</si>
  <si>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</si>
  <si>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</si>
  <si>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</si>
  <si>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</si>
  <si>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</si>
  <si>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</si>
  <si>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</si>
  <si>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</si>
  <si>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</si>
  <si>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</si>
  <si>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</si>
  <si>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</si>
  <si>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</si>
  <si>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</si>
  <si>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</si>
  <si>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</si>
  <si>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</si>
  <si>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</si>
  <si>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</si>
  <si>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</si>
  <si>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</si>
  <si>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</si>
  <si>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</si>
  <si>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</si>
  <si>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</si>
  <si>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</si>
  <si>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</si>
  <si>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</si>
  <si>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</si>
  <si>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</si>
  <si>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</si>
  <si>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</si>
  <si>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</si>
  <si>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</si>
  <si>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</si>
  <si>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</si>
  <si>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</si>
  <si>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</si>
  <si>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</si>
  <si>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</si>
  <si>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</si>
  <si>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</si>
  <si>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</si>
  <si>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</si>
  <si>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</si>
  <si>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</si>
  <si>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</si>
  <si>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</si>
  <si>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</si>
  <si>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</si>
  <si>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</si>
  <si>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</si>
  <si>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</si>
  <si>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</si>
  <si>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</si>
  <si>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</si>
  <si>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</si>
  <si>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</si>
  <si>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</si>
  <si>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</si>
  <si>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</si>
  <si>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</si>
  <si>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</si>
  <si>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</si>
  <si>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</si>
  <si>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</si>
  <si>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</si>
  <si>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</si>
  <si>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</si>
  <si>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</si>
  <si>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</si>
  <si>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</si>
  <si>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</si>
  <si>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</si>
  <si>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</si>
  <si>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</si>
  <si>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</si>
  <si>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</si>
  <si>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</si>
  <si>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</si>
  <si>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</si>
  <si>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</si>
  <si>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</si>
  <si>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</si>
  <si>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</si>
  <si>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</si>
  <si>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</si>
  <si>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</si>
  <si>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</si>
  <si>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</si>
  <si>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</si>
  <si>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</si>
  <si>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</si>
  <si>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</si>
  <si>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</si>
  <si>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</si>
  <si>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</si>
  <si>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</si>
  <si>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</si>
  <si>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</si>
  <si>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</si>
  <si>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</si>
  <si>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</si>
  <si>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</si>
  <si>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</si>
  <si>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</si>
  <si>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</si>
  <si>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</si>
  <si>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</si>
  <si>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</si>
  <si>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</si>
  <si>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</si>
  <si>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</si>
  <si>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</si>
  <si>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</si>
  <si>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</si>
  <si>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</si>
  <si>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</si>
  <si>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</si>
  <si>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</si>
  <si>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</si>
  <si>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</si>
  <si>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</si>
  <si>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</si>
  <si>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</si>
  <si>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</si>
  <si>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</si>
  <si>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</si>
  <si>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</si>
  <si>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</si>
  <si>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</si>
  <si>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</si>
  <si>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</si>
  <si>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</si>
  <si>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</si>
  <si>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</si>
  <si>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</si>
  <si>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</si>
  <si>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</si>
  <si>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</si>
  <si>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</si>
  <si>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</si>
  <si>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</si>
  <si>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</si>
  <si>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</si>
  <si>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</si>
  <si>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</si>
  <si>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</si>
  <si>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</si>
  <si>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</si>
  <si>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</si>
  <si>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</si>
  <si>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</si>
  <si>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</si>
  <si>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</si>
  <si>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</si>
  <si>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</si>
  <si>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</si>
  <si>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</si>
  <si>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</si>
  <si>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</si>
  <si>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</si>
  <si>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</si>
  <si>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</si>
  <si>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</si>
  <si>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</si>
  <si>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</si>
  <si>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</si>
  <si>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</si>
  <si>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</si>
  <si>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</si>
  <si>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</si>
  <si>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</si>
  <si>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</si>
  <si>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</si>
  <si>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</si>
  <si>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</si>
  <si>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</si>
  <si>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</si>
  <si>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</si>
  <si>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</si>
  <si>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</si>
  <si>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</si>
  <si>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</si>
  <si>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</si>
  <si>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</si>
  <si>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</si>
  <si>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</si>
  <si>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</si>
  <si>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</si>
  <si>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</si>
  <si>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</si>
  <si>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</si>
  <si>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</si>
  <si>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</si>
  <si>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</si>
  <si>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</si>
  <si>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</si>
  <si>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</si>
  <si>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</si>
  <si>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</si>
  <si>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</si>
  <si>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</si>
  <si>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</si>
  <si>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</si>
  <si>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</si>
  <si>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</si>
  <si>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</si>
  <si>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</si>
  <si>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</si>
  <si>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</si>
  <si>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</si>
  <si>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</si>
  <si>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</si>
  <si>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</si>
  <si>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</si>
  <si>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</si>
  <si>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</si>
  <si>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</si>
  <si>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</si>
  <si>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</si>
  <si>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</si>
  <si>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</si>
  <si>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</si>
  <si>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</si>
  <si>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</si>
  <si>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</si>
  <si>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</si>
  <si>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</si>
  <si>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</si>
  <si>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</si>
  <si>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</si>
  <si>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</si>
  <si>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</si>
  <si>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</si>
  <si>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</si>
  <si>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</si>
  <si>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</si>
  <si>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</si>
  <si>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</si>
  <si>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</si>
  <si>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</si>
  <si>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</si>
  <si>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</si>
  <si>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</si>
  <si>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</si>
  <si>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</si>
  <si>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</si>
  <si>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</si>
  <si>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</si>
  <si>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</si>
  <si>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</si>
  <si>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</si>
  <si>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</si>
  <si>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</si>
  <si>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</si>
  <si>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</si>
  <si>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</si>
  <si>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</si>
  <si>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</si>
  <si>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</si>
  <si>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</si>
  <si>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</si>
  <si>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</si>
  <si>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</si>
  <si>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</si>
  <si>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</si>
  <si>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</si>
  <si>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</si>
  <si>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</si>
  <si>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</si>
  <si>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</si>
  <si>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</si>
  <si>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</si>
  <si>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</si>
  <si>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</si>
  <si>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</si>
  <si>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</si>
  <si>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</si>
  <si>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</si>
  <si>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</si>
  <si>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</si>
  <si>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</si>
  <si>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</si>
  <si>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</si>
  <si>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</si>
  <si>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</si>
  <si>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</si>
  <si>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</si>
  <si>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</si>
  <si>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</si>
  <si>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</si>
  <si>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</si>
  <si>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</si>
  <si>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</si>
  <si>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</si>
  <si>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</si>
  <si>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</si>
  <si>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</si>
  <si>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</si>
  <si>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</si>
  <si>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</si>
  <si>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</si>
  <si>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</si>
  <si>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</si>
  <si>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</si>
  <si>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</si>
  <si>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</si>
  <si>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</si>
  <si>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</si>
  <si>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</si>
  <si>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</si>
  <si>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</si>
  <si>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</si>
  <si>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</si>
  <si>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</si>
  <si>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</si>
  <si>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</si>
  <si>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</si>
  <si>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</si>
  <si>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</si>
  <si>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</si>
  <si>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</si>
  <si>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</si>
  <si>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</si>
  <si>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</si>
  <si>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</si>
  <si>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</si>
  <si>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</si>
  <si>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</si>
  <si>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</si>
  <si>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</si>
  <si>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</si>
  <si>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</si>
  <si>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</si>
  <si>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</si>
  <si>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</si>
  <si>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</si>
  <si>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</si>
  <si>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</si>
  <si>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</si>
  <si>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</si>
  <si>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</si>
  <si>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</si>
  <si>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</si>
  <si>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</si>
  <si>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</si>
  <si>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</si>
  <si>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</si>
  <si>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</si>
  <si>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</si>
  <si>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</si>
  <si>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</si>
  <si>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</si>
  <si>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</si>
  <si>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</si>
  <si>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</si>
  <si>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</si>
  <si>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</si>
  <si>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</si>
  <si>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</si>
  <si>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</si>
  <si>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</si>
  <si>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</si>
  <si>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</si>
  <si>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</si>
  <si>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</si>
  <si>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</si>
  <si>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</si>
  <si>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</si>
  <si>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</si>
  <si>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</si>
  <si>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</si>
  <si>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</si>
  <si>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</si>
  <si>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</si>
  <si>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</si>
  <si>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</si>
  <si>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</si>
  <si>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</si>
  <si>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</si>
  <si>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</si>
  <si>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</si>
  <si>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</si>
  <si>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</si>
  <si>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</si>
  <si>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</si>
  <si>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</si>
  <si>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</si>
  <si>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</si>
  <si>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</si>
  <si>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</si>
  <si>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</si>
  <si>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</si>
  <si>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</si>
  <si>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</si>
  <si>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</si>
  <si>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</si>
  <si>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</si>
  <si>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</si>
  <si>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</si>
  <si>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</si>
  <si>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</si>
  <si>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</si>
  <si>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</si>
  <si>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</si>
  <si>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</si>
  <si>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</si>
  <si>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</si>
  <si>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</si>
  <si>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</si>
  <si>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</si>
  <si>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</si>
  <si>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</si>
  <si>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</si>
  <si>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</si>
  <si>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</si>
  <si>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</si>
  <si>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</si>
  <si>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</si>
  <si>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</si>
  <si>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</si>
  <si>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</si>
  <si>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</si>
  <si>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</si>
  <si>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</si>
  <si>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</si>
  <si>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</si>
  <si>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</si>
  <si>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</si>
  <si>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</si>
  <si>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</si>
  <si>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</si>
  <si>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</si>
  <si>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</si>
  <si>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</si>
  <si>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</si>
  <si>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</si>
  <si>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</si>
  <si>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</si>
  <si>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</si>
  <si>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</si>
  <si>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</si>
  <si>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</si>
  <si>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</si>
  <si>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</si>
  <si>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</si>
  <si>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</si>
  <si>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</si>
  <si>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</si>
  <si>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</si>
  <si>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</si>
  <si>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</si>
  <si>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</si>
  <si>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</si>
  <si>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</si>
  <si>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</si>
  <si>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</si>
  <si>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</si>
  <si>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</si>
  <si>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</si>
  <si>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</si>
  <si>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</si>
  <si>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</si>
  <si>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</si>
  <si>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</si>
  <si>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</si>
  <si>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</si>
  <si>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</si>
  <si>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</si>
  <si>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</si>
  <si>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</si>
  <si>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</si>
  <si>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</si>
  <si>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</si>
  <si>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</si>
  <si>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</si>
  <si>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</si>
  <si>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</si>
  <si>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</si>
  <si>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</si>
  <si>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</si>
  <si>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</si>
  <si>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</si>
  <si>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</si>
  <si>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</si>
  <si>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</si>
  <si>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</si>
  <si>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</si>
  <si>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</si>
  <si>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</si>
  <si>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</si>
  <si>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</si>
  <si>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</si>
  <si>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</si>
  <si>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</si>
  <si>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</si>
  <si>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</si>
  <si>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</si>
  <si>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</si>
  <si>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</si>
  <si>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</si>
  <si>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</si>
  <si>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</si>
  <si>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</si>
  <si>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</si>
  <si>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</si>
  <si>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</si>
  <si>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</si>
  <si>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</si>
  <si>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</si>
  <si>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</si>
  <si>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</si>
  <si>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</si>
  <si>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</si>
  <si>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</si>
  <si>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</si>
  <si>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</si>
  <si>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</si>
  <si>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</si>
  <si>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</si>
  <si>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</si>
  <si>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</si>
  <si>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</si>
  <si>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</si>
  <si>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</si>
  <si>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</si>
  <si>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</si>
  <si>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</si>
  <si>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</si>
  <si>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</si>
  <si>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</si>
  <si>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</si>
  <si>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</si>
  <si>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</si>
  <si>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</si>
  <si>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</si>
  <si>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</si>
  <si>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</si>
  <si>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</si>
  <si>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</si>
  <si>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</si>
  <si>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</si>
  <si>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</si>
  <si>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</si>
  <si>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</si>
  <si>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</si>
  <si>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</si>
  <si>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</si>
  <si>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</si>
  <si>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</si>
  <si>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</si>
  <si>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</si>
  <si>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</si>
  <si>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</si>
  <si>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</si>
  <si>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</si>
  <si>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</si>
  <si>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</si>
  <si>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</si>
  <si>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</si>
  <si>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</si>
  <si>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</si>
  <si>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</si>
  <si>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</si>
  <si>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</si>
  <si>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</si>
  <si>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</si>
  <si>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</si>
  <si>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</si>
  <si>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</si>
  <si>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</si>
  <si>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</si>
  <si>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</si>
  <si>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</si>
  <si>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</si>
  <si>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</si>
  <si>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</si>
  <si>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</si>
  <si>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</si>
  <si>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</si>
  <si>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</si>
  <si>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</si>
  <si>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</si>
  <si>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</si>
  <si>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</si>
  <si>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</si>
  <si>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</si>
  <si>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</si>
  <si>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</si>
  <si>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</si>
  <si>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</si>
  <si>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</si>
  <si>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</si>
  <si>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</si>
  <si>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</si>
  <si>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</si>
  <si>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</si>
  <si>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</si>
  <si>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</si>
  <si>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</si>
  <si>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</si>
  <si>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</si>
  <si>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</si>
  <si>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</si>
  <si>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</si>
  <si>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</si>
  <si>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</si>
  <si>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</si>
  <si>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</si>
  <si>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</si>
  <si>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</si>
  <si>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</si>
  <si>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</si>
  <si>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</si>
  <si>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</si>
  <si>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</si>
  <si>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</si>
  <si>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</si>
  <si>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</si>
  <si>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</si>
  <si>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</si>
  <si>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</si>
  <si>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</si>
  <si>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</si>
  <si>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</si>
  <si>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72025</t>
  </si>
  <si>
    <t>NEERPELT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</si>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</sst>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138757.9253663772</c:v>
                </c:pt>
                <c:pt idx="1">
                  <c:v>35646.297191310128</c:v>
                </c:pt>
                <c:pt idx="2">
                  <c:v>1140.1199999999999</c:v>
                </c:pt>
                <c:pt idx="3">
                  <c:v>5600.9452709165143</c:v>
                </c:pt>
                <c:pt idx="4">
                  <c:v>5258.1009229925266</c:v>
                </c:pt>
                <c:pt idx="5">
                  <c:v>54137.320361553866</c:v>
                </c:pt>
                <c:pt idx="6">
                  <c:v>1781.3414997017583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44000"/>
        <c:axId val="165749888"/>
      </c:barChart>
      <c:catAx>
        <c:axId val="165744000"/>
        <c:scaling>
          <c:orientation val="minMax"/>
        </c:scaling>
        <c:axPos val="b"/>
        <c:numFmt formatCode="General" sourceLinked="0"/>
        <c:tickLblPos val="nextTo"/>
        <c:crossAx val="165749888"/>
        <c:crosses val="autoZero"/>
        <c:auto val="1"/>
        <c:lblAlgn val="ctr"/>
        <c:lblOffset val="100"/>
      </c:catAx>
      <c:valAx>
        <c:axId val="165749888"/>
        <c:scaling>
          <c:orientation val="minMax"/>
        </c:scaling>
        <c:axPos val="l"/>
        <c:majorGridlines/>
        <c:numFmt formatCode="#,##0" sourceLinked="1"/>
        <c:tickLblPos val="nextTo"/>
        <c:crossAx val="1657440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138757.9253663772</c:v>
                </c:pt>
                <c:pt idx="1">
                  <c:v>35646.297191310128</c:v>
                </c:pt>
                <c:pt idx="2">
                  <c:v>1140.1199999999999</c:v>
                </c:pt>
                <c:pt idx="3">
                  <c:v>5600.9452709165143</c:v>
                </c:pt>
                <c:pt idx="4">
                  <c:v>5258.1009229925266</c:v>
                </c:pt>
                <c:pt idx="5">
                  <c:v>54137.320361553866</c:v>
                </c:pt>
                <c:pt idx="6">
                  <c:v>1781.3414997017583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26104.153569065944</c:v>
                </c:pt>
                <c:pt idx="1">
                  <c:v>6779.0740160399073</c:v>
                </c:pt>
                <c:pt idx="2">
                  <c:v>218.29797930118298</c:v>
                </c:pt>
                <c:pt idx="3">
                  <c:v>1351.5948272022947</c:v>
                </c:pt>
                <c:pt idx="4">
                  <c:v>1044.0410862641825</c:v>
                </c:pt>
                <c:pt idx="5">
                  <c:v>13554.369608001962</c:v>
                </c:pt>
                <c:pt idx="6">
                  <c:v>449.9583664795374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321088"/>
        <c:axId val="180133888"/>
      </c:barChart>
      <c:catAx>
        <c:axId val="179321088"/>
        <c:scaling>
          <c:orientation val="minMax"/>
        </c:scaling>
        <c:axPos val="b"/>
        <c:numFmt formatCode="General" sourceLinked="0"/>
        <c:tickLblPos val="nextTo"/>
        <c:crossAx val="180133888"/>
        <c:crosses val="autoZero"/>
        <c:auto val="1"/>
        <c:lblAlgn val="ctr"/>
        <c:lblOffset val="100"/>
      </c:catAx>
      <c:valAx>
        <c:axId val="180133888"/>
        <c:scaling>
          <c:orientation val="minMax"/>
        </c:scaling>
        <c:axPos val="l"/>
        <c:majorGridlines/>
        <c:numFmt formatCode="#,##0" sourceLinked="1"/>
        <c:tickLblPos val="nextTo"/>
        <c:crossAx val="179321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26104.153569065944</c:v>
                </c:pt>
                <c:pt idx="1">
                  <c:v>6779.0740160399073</c:v>
                </c:pt>
                <c:pt idx="2">
                  <c:v>218.29797930118298</c:v>
                </c:pt>
                <c:pt idx="3">
                  <c:v>1351.5948272022947</c:v>
                </c:pt>
                <c:pt idx="4">
                  <c:v>1044.0410862641825</c:v>
                </c:pt>
                <c:pt idx="5">
                  <c:v>13554.369608001962</c:v>
                </c:pt>
                <c:pt idx="6">
                  <c:v>449.9583664795374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72025</v>
      </c>
      <c r="B6" s="416"/>
      <c r="C6" s="417"/>
    </row>
    <row r="7" spans="1:7" s="414" customFormat="1" ht="15.75" customHeight="1">
      <c r="A7" s="418" t="str">
        <f>txtMunicipality</f>
        <v>NEERPELT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6888</v>
      </c>
      <c r="C9" s="342">
        <v>6883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1726</v>
      </c>
    </row>
    <row r="15" spans="1:6">
      <c r="A15" s="348" t="s">
        <v>184</v>
      </c>
      <c r="B15" s="334">
        <v>1645</v>
      </c>
    </row>
    <row r="16" spans="1:6">
      <c r="A16" s="348" t="s">
        <v>6</v>
      </c>
      <c r="B16" s="334">
        <v>1469</v>
      </c>
    </row>
    <row r="17" spans="1:6">
      <c r="A17" s="348" t="s">
        <v>7</v>
      </c>
      <c r="B17" s="334">
        <v>204</v>
      </c>
    </row>
    <row r="18" spans="1:6">
      <c r="A18" s="348" t="s">
        <v>8</v>
      </c>
      <c r="B18" s="334">
        <v>847</v>
      </c>
    </row>
    <row r="19" spans="1:6">
      <c r="A19" s="348" t="s">
        <v>9</v>
      </c>
      <c r="B19" s="334">
        <v>746</v>
      </c>
    </row>
    <row r="20" spans="1:6">
      <c r="A20" s="348" t="s">
        <v>10</v>
      </c>
      <c r="B20" s="334">
        <v>507</v>
      </c>
    </row>
    <row r="21" spans="1:6">
      <c r="A21" s="348" t="s">
        <v>11</v>
      </c>
      <c r="B21" s="334">
        <v>4025</v>
      </c>
    </row>
    <row r="22" spans="1:6">
      <c r="A22" s="348" t="s">
        <v>12</v>
      </c>
      <c r="B22" s="334">
        <v>11238</v>
      </c>
    </row>
    <row r="23" spans="1:6">
      <c r="A23" s="348" t="s">
        <v>13</v>
      </c>
      <c r="B23" s="334">
        <v>234</v>
      </c>
    </row>
    <row r="24" spans="1:6">
      <c r="A24" s="348" t="s">
        <v>14</v>
      </c>
      <c r="B24" s="334">
        <v>11</v>
      </c>
    </row>
    <row r="25" spans="1:6">
      <c r="A25" s="348" t="s">
        <v>15</v>
      </c>
      <c r="B25" s="334">
        <v>1121</v>
      </c>
    </row>
    <row r="26" spans="1:6">
      <c r="A26" s="348" t="s">
        <v>16</v>
      </c>
      <c r="B26" s="334">
        <v>167</v>
      </c>
    </row>
    <row r="27" spans="1:6">
      <c r="A27" s="348" t="s">
        <v>17</v>
      </c>
      <c r="B27" s="334">
        <v>4</v>
      </c>
    </row>
    <row r="28" spans="1:6" s="356" customFormat="1">
      <c r="A28" s="355" t="s">
        <v>18</v>
      </c>
      <c r="B28" s="355">
        <v>175090</v>
      </c>
    </row>
    <row r="29" spans="1:6">
      <c r="A29" s="355" t="s">
        <v>865</v>
      </c>
      <c r="B29" s="355">
        <v>74</v>
      </c>
      <c r="C29" s="356"/>
      <c r="D29" s="356"/>
      <c r="E29" s="356"/>
      <c r="F29" s="356"/>
    </row>
    <row r="30" spans="1:6">
      <c r="A30" s="341" t="s">
        <v>866</v>
      </c>
      <c r="B30" s="341">
        <v>31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52892</v>
      </c>
    </row>
    <row r="39" spans="1:6">
      <c r="A39" s="348" t="s">
        <v>30</v>
      </c>
      <c r="B39" s="348" t="s">
        <v>31</v>
      </c>
      <c r="C39" s="334">
        <v>4518</v>
      </c>
      <c r="D39" s="334">
        <v>73542380</v>
      </c>
      <c r="E39" s="334">
        <v>6959</v>
      </c>
      <c r="F39" s="334">
        <v>26582473</v>
      </c>
    </row>
    <row r="40" spans="1:6">
      <c r="A40" s="348" t="s">
        <v>30</v>
      </c>
      <c r="B40" s="348" t="s">
        <v>29</v>
      </c>
      <c r="C40" s="334">
        <v>0</v>
      </c>
      <c r="D40" s="334">
        <v>0</v>
      </c>
      <c r="E40" s="334">
        <v>0</v>
      </c>
      <c r="F40" s="334">
        <v>0</v>
      </c>
    </row>
    <row r="41" spans="1:6">
      <c r="A41" s="348" t="s">
        <v>32</v>
      </c>
      <c r="B41" s="348" t="s">
        <v>33</v>
      </c>
      <c r="C41" s="334">
        <v>41</v>
      </c>
      <c r="D41" s="334">
        <v>869875</v>
      </c>
      <c r="E41" s="334">
        <v>106</v>
      </c>
      <c r="F41" s="334">
        <v>1080927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264439</v>
      </c>
      <c r="E44" s="334">
        <v>15</v>
      </c>
      <c r="F44" s="334">
        <v>136918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167527</v>
      </c>
      <c r="E48" s="334">
        <v>3</v>
      </c>
      <c r="F48" s="334">
        <v>26474</v>
      </c>
    </row>
    <row r="49" spans="1:6">
      <c r="A49" s="348" t="s">
        <v>32</v>
      </c>
      <c r="B49" s="348" t="s">
        <v>40</v>
      </c>
      <c r="C49" s="334">
        <v>3</v>
      </c>
      <c r="D49" s="334">
        <v>102542</v>
      </c>
      <c r="E49" s="334">
        <v>4</v>
      </c>
      <c r="F49" s="334">
        <v>57839</v>
      </c>
    </row>
    <row r="50" spans="1:6">
      <c r="A50" s="348" t="s">
        <v>32</v>
      </c>
      <c r="B50" s="348" t="s">
        <v>41</v>
      </c>
      <c r="C50" s="334">
        <v>5</v>
      </c>
      <c r="D50" s="334">
        <v>528824</v>
      </c>
      <c r="E50" s="334">
        <v>9</v>
      </c>
      <c r="F50" s="334">
        <v>187689</v>
      </c>
    </row>
    <row r="51" spans="1:6">
      <c r="A51" s="348" t="s">
        <v>42</v>
      </c>
      <c r="B51" s="348" t="s">
        <v>43</v>
      </c>
      <c r="C51" s="334">
        <v>15</v>
      </c>
      <c r="D51" s="334">
        <v>1132979</v>
      </c>
      <c r="E51" s="334">
        <v>53</v>
      </c>
      <c r="F51" s="334">
        <v>1237646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78</v>
      </c>
      <c r="F54" s="334">
        <v>1140120</v>
      </c>
    </row>
    <row r="55" spans="1:6">
      <c r="A55" s="348" t="s">
        <v>46</v>
      </c>
      <c r="B55" s="348" t="s">
        <v>29</v>
      </c>
      <c r="C55" s="334">
        <v>0</v>
      </c>
      <c r="D55" s="334">
        <v>0</v>
      </c>
      <c r="E55" s="334">
        <v>0</v>
      </c>
      <c r="F55" s="334">
        <v>0</v>
      </c>
    </row>
    <row r="56" spans="1:6">
      <c r="A56" s="348" t="s">
        <v>48</v>
      </c>
      <c r="B56" s="348" t="s">
        <v>29</v>
      </c>
      <c r="C56" s="334">
        <v>48</v>
      </c>
      <c r="D56" s="334">
        <v>1151874</v>
      </c>
      <c r="E56" s="334">
        <v>146</v>
      </c>
      <c r="F56" s="334">
        <v>654720</v>
      </c>
    </row>
    <row r="57" spans="1:6">
      <c r="A57" s="348" t="s">
        <v>49</v>
      </c>
      <c r="B57" s="348" t="s">
        <v>50</v>
      </c>
      <c r="C57" s="334">
        <v>44</v>
      </c>
      <c r="D57" s="334">
        <v>1344459</v>
      </c>
      <c r="E57" s="334">
        <v>91</v>
      </c>
      <c r="F57" s="334">
        <v>2842999</v>
      </c>
    </row>
    <row r="58" spans="1:6">
      <c r="A58" s="348" t="s">
        <v>49</v>
      </c>
      <c r="B58" s="348" t="s">
        <v>51</v>
      </c>
      <c r="C58" s="334">
        <v>33</v>
      </c>
      <c r="D58" s="334">
        <v>2794590</v>
      </c>
      <c r="E58" s="334">
        <v>50</v>
      </c>
      <c r="F58" s="334">
        <v>1119934</v>
      </c>
    </row>
    <row r="59" spans="1:6">
      <c r="A59" s="348" t="s">
        <v>49</v>
      </c>
      <c r="B59" s="348" t="s">
        <v>52</v>
      </c>
      <c r="C59" s="334">
        <v>82</v>
      </c>
      <c r="D59" s="334">
        <v>3323104</v>
      </c>
      <c r="E59" s="334">
        <v>162</v>
      </c>
      <c r="F59" s="334">
        <v>4723608</v>
      </c>
    </row>
    <row r="60" spans="1:6">
      <c r="A60" s="348" t="s">
        <v>49</v>
      </c>
      <c r="B60" s="348" t="s">
        <v>53</v>
      </c>
      <c r="C60" s="334">
        <v>47</v>
      </c>
      <c r="D60" s="334">
        <v>2734939</v>
      </c>
      <c r="E60" s="334">
        <v>65</v>
      </c>
      <c r="F60" s="334">
        <v>1923118</v>
      </c>
    </row>
    <row r="61" spans="1:6">
      <c r="A61" s="348" t="s">
        <v>49</v>
      </c>
      <c r="B61" s="348" t="s">
        <v>54</v>
      </c>
      <c r="C61" s="334">
        <v>129</v>
      </c>
      <c r="D61" s="334">
        <v>5279992</v>
      </c>
      <c r="E61" s="334">
        <v>301</v>
      </c>
      <c r="F61" s="334">
        <v>3162746</v>
      </c>
    </row>
    <row r="62" spans="1:6">
      <c r="A62" s="348" t="s">
        <v>49</v>
      </c>
      <c r="B62" s="348" t="s">
        <v>55</v>
      </c>
      <c r="C62" s="334">
        <v>12</v>
      </c>
      <c r="D62" s="334">
        <v>2950593</v>
      </c>
      <c r="E62" s="334">
        <v>17</v>
      </c>
      <c r="F62" s="334">
        <v>669449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48855</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79442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37772857</v>
      </c>
      <c r="E73" s="477">
        <v>38854571.112193324</v>
      </c>
    </row>
    <row r="74" spans="1:6">
      <c r="A74" s="348" t="s">
        <v>64</v>
      </c>
      <c r="B74" s="348" t="s">
        <v>714</v>
      </c>
      <c r="C74" s="1288" t="s">
        <v>716</v>
      </c>
      <c r="D74" s="477">
        <v>3671972.5112786978</v>
      </c>
      <c r="E74" s="477">
        <v>3800770.8510518023</v>
      </c>
    </row>
    <row r="75" spans="1:6">
      <c r="A75" s="348" t="s">
        <v>65</v>
      </c>
      <c r="B75" s="348" t="s">
        <v>713</v>
      </c>
      <c r="C75" s="1288" t="s">
        <v>717</v>
      </c>
      <c r="D75" s="477">
        <v>23008527</v>
      </c>
      <c r="E75" s="477">
        <v>23718035.638614967</v>
      </c>
    </row>
    <row r="76" spans="1:6">
      <c r="A76" s="348" t="s">
        <v>65</v>
      </c>
      <c r="B76" s="348" t="s">
        <v>714</v>
      </c>
      <c r="C76" s="1288" t="s">
        <v>718</v>
      </c>
      <c r="D76" s="477">
        <v>345369.51127869781</v>
      </c>
      <c r="E76" s="477">
        <v>375205.84012157499</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476016.97744260437</v>
      </c>
      <c r="C83" s="477">
        <v>467902.36744317284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5767.3933918044904</v>
      </c>
    </row>
    <row r="92" spans="1:6">
      <c r="A92" s="341" t="s">
        <v>69</v>
      </c>
      <c r="B92" s="342">
        <v>1002.9755334487639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1945</v>
      </c>
    </row>
    <row r="98" spans="1:6">
      <c r="A98" s="348" t="s">
        <v>72</v>
      </c>
      <c r="B98" s="334">
        <v>1</v>
      </c>
    </row>
    <row r="99" spans="1:6">
      <c r="A99" s="348" t="s">
        <v>73</v>
      </c>
      <c r="B99" s="334">
        <v>82</v>
      </c>
    </row>
    <row r="100" spans="1:6">
      <c r="A100" s="348" t="s">
        <v>74</v>
      </c>
      <c r="B100" s="334">
        <v>308</v>
      </c>
    </row>
    <row r="101" spans="1:6">
      <c r="A101" s="348" t="s">
        <v>75</v>
      </c>
      <c r="B101" s="334">
        <v>78</v>
      </c>
    </row>
    <row r="102" spans="1:6">
      <c r="A102" s="348" t="s">
        <v>76</v>
      </c>
      <c r="B102" s="334">
        <v>67</v>
      </c>
    </row>
    <row r="103" spans="1:6">
      <c r="A103" s="348" t="s">
        <v>77</v>
      </c>
      <c r="B103" s="334">
        <v>77</v>
      </c>
    </row>
    <row r="104" spans="1:6">
      <c r="A104" s="348" t="s">
        <v>78</v>
      </c>
      <c r="B104" s="334">
        <v>3173</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25</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287</v>
      </c>
    </row>
    <row r="130" spans="1:6">
      <c r="A130" s="348" t="s">
        <v>295</v>
      </c>
      <c r="B130" s="334">
        <v>0</v>
      </c>
    </row>
    <row r="131" spans="1:6">
      <c r="A131" s="348" t="s">
        <v>296</v>
      </c>
      <c r="B131" s="334">
        <v>1</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50667.663694498748</v>
      </c>
      <c r="C3" s="43" t="s">
        <v>170</v>
      </c>
      <c r="D3" s="43"/>
      <c r="E3" s="154"/>
      <c r="F3" s="43"/>
      <c r="G3" s="43"/>
      <c r="H3" s="43"/>
      <c r="I3" s="43"/>
      <c r="J3" s="43"/>
      <c r="K3" s="96"/>
    </row>
    <row r="4" spans="1:11">
      <c r="A4" s="384" t="s">
        <v>171</v>
      </c>
      <c r="B4" s="49">
        <f>IF(ISERROR('SEAP template'!B69),0,'SEAP template'!B69)</f>
        <v>6770.368925253254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0.19146930086410466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1140.1199999999999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1140.1199999999999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0.19146930086410466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218.29797930118298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26582.473000000002</v>
      </c>
      <c r="C5" s="17">
        <f>IF(ISERROR('Eigen informatie GS &amp; warmtenet'!B57),0,'Eigen informatie GS &amp; warmtenet'!B57)</f>
        <v>0</v>
      </c>
      <c r="D5" s="30">
        <f>(SUM(HH_hh_gas_kWh,HH_rest_gas_kWh)/1000)*0.902</f>
        <v>66335.226760000005</v>
      </c>
      <c r="E5" s="17">
        <f>B46*B57</f>
        <v>3857.8853889674265</v>
      </c>
      <c r="F5" s="17">
        <f>B51*B62</f>
        <v>21103.713405109862</v>
      </c>
      <c r="G5" s="18"/>
      <c r="H5" s="17"/>
      <c r="I5" s="17"/>
      <c r="J5" s="17">
        <f>B50*B61+C50*C61</f>
        <v>0</v>
      </c>
      <c r="K5" s="17"/>
      <c r="L5" s="17"/>
      <c r="M5" s="17"/>
      <c r="N5" s="17">
        <f>B48*B59+C48*C59</f>
        <v>13916.443420495387</v>
      </c>
      <c r="O5" s="17">
        <f>B69*B70*B71</f>
        <v>489.32333333333338</v>
      </c>
      <c r="P5" s="17">
        <f>B77*B78*B79/1000-B77*B78*B79/1000/B80</f>
        <v>705.4666666666667</v>
      </c>
    </row>
    <row r="6" spans="1:16">
      <c r="A6" s="16" t="s">
        <v>631</v>
      </c>
      <c r="B6" s="844">
        <f>kWh_PV_kleiner_dan_10kW</f>
        <v>5767.3933918044904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32349.866391804491</v>
      </c>
      <c r="C8" s="21">
        <f>C5</f>
        <v>0</v>
      </c>
      <c r="D8" s="21">
        <f>D5</f>
        <v>66335.226760000005</v>
      </c>
      <c r="E8" s="21">
        <f>E5</f>
        <v>3857.8853889674265</v>
      </c>
      <c r="F8" s="21">
        <f>F5</f>
        <v>21103.713405109862</v>
      </c>
      <c r="G8" s="21"/>
      <c r="H8" s="21"/>
      <c r="I8" s="21"/>
      <c r="J8" s="21">
        <f>J5</f>
        <v>0</v>
      </c>
      <c r="K8" s="21"/>
      <c r="L8" s="21">
        <f>L5</f>
        <v>0</v>
      </c>
      <c r="M8" s="21">
        <f>M5</f>
        <v>0</v>
      </c>
      <c r="N8" s="21">
        <f>N5</f>
        <v>13916.443420495387</v>
      </c>
      <c r="O8" s="21">
        <f>O5</f>
        <v>489.32333333333338</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0.19146930086410466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6194.0063010860022</v>
      </c>
      <c r="C12" s="23">
        <f ca="1">C10*C8</f>
        <v>0</v>
      </c>
      <c r="D12" s="23">
        <f>D8*D10</f>
        <v>13399.715805520002</v>
      </c>
      <c r="E12" s="23">
        <f>E10*E8</f>
        <v>875.73998329560584</v>
      </c>
      <c r="F12" s="23">
        <f>F10*F8</f>
        <v>5634.691479164333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1945</v>
      </c>
      <c r="C18" s="166" t="s">
        <v>111</v>
      </c>
      <c r="D18" s="228"/>
      <c r="E18" s="15"/>
    </row>
    <row r="19" spans="1:7">
      <c r="A19" s="171" t="s">
        <v>72</v>
      </c>
      <c r="B19" s="37">
        <f>aantalw2001_ander</f>
        <v>1</v>
      </c>
      <c r="C19" s="166" t="s">
        <v>111</v>
      </c>
      <c r="D19" s="229"/>
      <c r="E19" s="15"/>
    </row>
    <row r="20" spans="1:7">
      <c r="A20" s="171" t="s">
        <v>73</v>
      </c>
      <c r="B20" s="37">
        <f>aantalw2001_propaan</f>
        <v>82</v>
      </c>
      <c r="C20" s="167">
        <f>IF(ISERROR(B20/SUM($B$20,$B$21,$B$22)*100),0,B20/SUM($B$20,$B$21,$B$22)*100)</f>
        <v>17.52136752136752</v>
      </c>
      <c r="D20" s="229"/>
      <c r="E20" s="15"/>
    </row>
    <row r="21" spans="1:7">
      <c r="A21" s="171" t="s">
        <v>74</v>
      </c>
      <c r="B21" s="37">
        <f>aantalw2001_elektriciteit</f>
        <v>308</v>
      </c>
      <c r="C21" s="167">
        <f>IF(ISERROR(B21/SUM($B$20,$B$21,$B$22)*100),0,B21/SUM($B$20,$B$21,$B$22)*100)</f>
        <v>65.811965811965806</v>
      </c>
      <c r="D21" s="229"/>
      <c r="E21" s="15"/>
    </row>
    <row r="22" spans="1:7">
      <c r="A22" s="171" t="s">
        <v>75</v>
      </c>
      <c r="B22" s="37">
        <f>aantalw2001_hout</f>
        <v>78</v>
      </c>
      <c r="C22" s="167">
        <f>IF(ISERROR(B22/SUM($B$20,$B$21,$B$22)*100),0,B22/SUM($B$20,$B$21,$B$22)*100)</f>
        <v>16.666666666666664</v>
      </c>
      <c r="D22" s="229"/>
      <c r="E22" s="15"/>
    </row>
    <row r="23" spans="1:7">
      <c r="A23" s="171" t="s">
        <v>76</v>
      </c>
      <c r="B23" s="37">
        <f>aantalw2001_niet_gespec</f>
        <v>67</v>
      </c>
      <c r="C23" s="166" t="s">
        <v>111</v>
      </c>
      <c r="D23" s="228"/>
      <c r="E23" s="15"/>
    </row>
    <row r="24" spans="1:7">
      <c r="A24" s="171" t="s">
        <v>77</v>
      </c>
      <c r="B24" s="37">
        <f>aantalw2001_steenkool</f>
        <v>77</v>
      </c>
      <c r="C24" s="166" t="s">
        <v>111</v>
      </c>
      <c r="D24" s="229"/>
      <c r="E24" s="15"/>
    </row>
    <row r="25" spans="1:7">
      <c r="A25" s="171" t="s">
        <v>78</v>
      </c>
      <c r="B25" s="37">
        <f>aantalw2001_stookolie</f>
        <v>3173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6888</v>
      </c>
      <c r="C28" s="36"/>
      <c r="D28" s="228"/>
    </row>
    <row r="29" spans="1:7" s="15" customFormat="1">
      <c r="A29" s="230" t="s">
        <v>741</v>
      </c>
      <c r="B29" s="37">
        <f>SUM(HH_hh_gas_aantal,HH_rest_gas_aantal)</f>
        <v>4518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4518</v>
      </c>
      <c r="C32" s="167">
        <f>IF(ISERROR(B32/SUM($B$32,$B$34,$B$35,$B$36,$B$38,$B$39)*100),0,B32/SUM($B$32,$B$34,$B$35,$B$36,$B$38,$B$39)*100)</f>
        <v>65.94657714202306</v>
      </c>
      <c r="D32" s="233"/>
      <c r="G32" s="15"/>
    </row>
    <row r="33" spans="1:7">
      <c r="A33" s="171" t="s">
        <v>72</v>
      </c>
      <c r="B33" s="34" t="s">
        <v>111</v>
      </c>
      <c r="C33" s="167"/>
      <c r="D33" s="233"/>
      <c r="G33" s="15"/>
    </row>
    <row r="34" spans="1:7">
      <c r="A34" s="171" t="s">
        <v>73</v>
      </c>
      <c r="B34" s="33">
        <f>IF((($B$28-$B$32-$B$39-$B$77-$B$38)*C20/100)&lt;0,0,($B$28-$B$32-$B$39-$B$77-$B$38)*C20/100)</f>
        <v>258.56282051282056</v>
      </c>
      <c r="C34" s="167">
        <f>IF(ISERROR(B34/SUM($B$32,$B$34,$B$35,$B$36,$B$38,$B$39)*100),0,B34/SUM($B$32,$B$34,$B$35,$B$36,$B$38,$B$39)*100)</f>
        <v>3.7740887536537815</v>
      </c>
      <c r="D34" s="233"/>
      <c r="G34" s="15"/>
    </row>
    <row r="35" spans="1:7">
      <c r="A35" s="171" t="s">
        <v>74</v>
      </c>
      <c r="B35" s="33">
        <f>IF((($B$28-$B$32-$B$39-$B$77-$B$38)*C21/100)&lt;0,0,($B$28-$B$32-$B$39-$B$77-$B$38)*C21/100)</f>
        <v>971.18717948717949</v>
      </c>
      <c r="C35" s="167">
        <f>IF(ISERROR(B35/SUM($B$32,$B$34,$B$35,$B$36,$B$38,$B$39)*100),0,B35/SUM($B$32,$B$34,$B$35,$B$36,$B$38,$B$39)*100)</f>
        <v>14.175845562504444</v>
      </c>
      <c r="D35" s="233"/>
      <c r="G35" s="15"/>
    </row>
    <row r="36" spans="1:7">
      <c r="A36" s="171" t="s">
        <v>75</v>
      </c>
      <c r="B36" s="33">
        <f>IF((($B$28-$B$32-$B$39-$B$77-$B$38)*C22/100)&lt;0,0,($B$28-$B$32-$B$39-$B$77-$B$38)*C22/100)</f>
        <v>245.95</v>
      </c>
      <c r="C36" s="167">
        <f>IF(ISERROR(B36/SUM($B$32,$B$34,$B$35,$B$36,$B$38,$B$39)*100),0,B36/SUM($B$32,$B$34,$B$35,$B$36,$B$38,$B$39)*100)</f>
        <v>3.589986863231645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857.29999999999973</v>
      </c>
      <c r="C39" s="167">
        <f>IF(ISERROR(B39/SUM($B$32,$B$34,$B$35,$B$36,$B$38,$B$39)*100),0,B39/SUM($B$32,$B$34,$B$35,$B$36,$B$38,$B$39)*100)</f>
        <v>12.513501678587064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4518</v>
      </c>
      <c r="C44" s="34" t="s">
        <v>111</v>
      </c>
      <c r="D44" s="174"/>
    </row>
    <row r="45" spans="1:7">
      <c r="A45" s="171" t="s">
        <v>72</v>
      </c>
      <c r="B45" s="33" t="str">
        <f t="shared" si="0"/>
        <v>-</v>
      </c>
      <c r="C45" s="34" t="s">
        <v>111</v>
      </c>
      <c r="D45" s="174"/>
    </row>
    <row r="46" spans="1:7">
      <c r="A46" s="171" t="s">
        <v>73</v>
      </c>
      <c r="B46" s="33">
        <f t="shared" si="0"/>
        <v>258.56282051282056</v>
      </c>
      <c r="C46" s="34" t="s">
        <v>111</v>
      </c>
      <c r="D46" s="174"/>
    </row>
    <row r="47" spans="1:7">
      <c r="A47" s="171" t="s">
        <v>74</v>
      </c>
      <c r="B47" s="33">
        <f t="shared" si="0"/>
        <v>971.18717948717949</v>
      </c>
      <c r="C47" s="34" t="s">
        <v>111</v>
      </c>
      <c r="D47" s="174"/>
    </row>
    <row r="48" spans="1:7">
      <c r="A48" s="171" t="s">
        <v>75</v>
      </c>
      <c r="B48" s="33">
        <f t="shared" si="0"/>
        <v>245.95</v>
      </c>
      <c r="C48" s="33">
        <f>B48*10</f>
        <v>2459.5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857.29999999999973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14441.853999999999</v>
      </c>
      <c r="C5" s="17">
        <f>IF(ISERROR('Eigen informatie GS &amp; warmtenet'!B58),0,'Eigen informatie GS &amp; warmtenet'!B58)</f>
        <v>0</v>
      </c>
      <c r="D5" s="30">
        <f>SUM(D6:D12)</f>
        <v>16621.764653999999</v>
      </c>
      <c r="E5" s="17">
        <f>SUM(E6:E12)</f>
        <v>151.72295732502667</v>
      </c>
      <c r="F5" s="17">
        <f>SUM(F6:F12)</f>
        <v>2329.0814833619993</v>
      </c>
      <c r="G5" s="18"/>
      <c r="H5" s="17"/>
      <c r="I5" s="17"/>
      <c r="J5" s="17">
        <f>SUM(J6:J12)</f>
        <v>0</v>
      </c>
      <c r="K5" s="17"/>
      <c r="L5" s="17"/>
      <c r="M5" s="17"/>
      <c r="N5" s="17">
        <f>SUM(N6:N12)</f>
        <v>2082.8074299564428</v>
      </c>
      <c r="O5" s="17">
        <f>B38*B39*B40</f>
        <v>0</v>
      </c>
      <c r="P5" s="17">
        <f>B46*B47*B48/1000-B46*B47*B48/1000/B49</f>
        <v>19.066666666666666</v>
      </c>
      <c r="R5" s="32"/>
    </row>
    <row r="6" spans="1:18">
      <c r="A6" s="32" t="s">
        <v>54</v>
      </c>
      <c r="B6" s="37">
        <f>B26</f>
        <v>3162.7460000000001</v>
      </c>
      <c r="C6" s="33"/>
      <c r="D6" s="37">
        <f>IF(ISERROR(TER_kantoor_gas_kWh/1000),0,TER_kantoor_gas_kWh/1000)*0.902</f>
        <v>4762.5527840000004</v>
      </c>
      <c r="E6" s="33">
        <f>$C$26*'E Balans VL '!I12/100/3.6*1000000</f>
        <v>9.1629392026357284</v>
      </c>
      <c r="F6" s="33">
        <f>$C$26*('E Balans VL '!L12+'E Balans VL '!N12)/100/3.6*1000000</f>
        <v>357.95316650311224</v>
      </c>
      <c r="G6" s="34"/>
      <c r="H6" s="33"/>
      <c r="I6" s="33"/>
      <c r="J6" s="33">
        <f>$C$26*('E Balans VL '!D12+'E Balans VL '!E12)/100/3.6*1000000</f>
        <v>0</v>
      </c>
      <c r="K6" s="33"/>
      <c r="L6" s="33"/>
      <c r="M6" s="33"/>
      <c r="N6" s="33">
        <f>$C$26*'E Balans VL '!Y12/100/3.6*1000000</f>
        <v>31.656757044697027</v>
      </c>
      <c r="O6" s="33"/>
      <c r="P6" s="33"/>
      <c r="R6" s="32"/>
    </row>
    <row r="7" spans="1:18">
      <c r="A7" s="32" t="s">
        <v>53</v>
      </c>
      <c r="B7" s="37">
        <f t="shared" ref="B7:B12" si="0">B27</f>
        <v>1923.1179999999999</v>
      </c>
      <c r="C7" s="33"/>
      <c r="D7" s="37">
        <f>IF(ISERROR(TER_horeca_gas_kWh/1000),0,TER_horeca_gas_kWh/1000)*0.902</f>
        <v>2466.9149779999998</v>
      </c>
      <c r="E7" s="33">
        <f>$C$27*'E Balans VL '!I9/100/3.6*1000000</f>
        <v>80.727120554500758</v>
      </c>
      <c r="F7" s="33">
        <f>$C$27*('E Balans VL '!L9+'E Balans VL '!N9)/100/3.6*1000000</f>
        <v>413.22133954890631</v>
      </c>
      <c r="G7" s="34"/>
      <c r="H7" s="33"/>
      <c r="I7" s="33"/>
      <c r="J7" s="33">
        <f>$C$27*('E Balans VL '!D9+'E Balans VL '!E9)/100/3.6*1000000</f>
        <v>0</v>
      </c>
      <c r="K7" s="33"/>
      <c r="L7" s="33"/>
      <c r="M7" s="33"/>
      <c r="N7" s="33">
        <f>$C$27*'E Balans VL '!Y9/100/3.6*1000000</f>
        <v>0.49557069032296808</v>
      </c>
      <c r="O7" s="33"/>
      <c r="P7" s="33"/>
      <c r="R7" s="32"/>
    </row>
    <row r="8" spans="1:18">
      <c r="A8" s="6" t="s">
        <v>52</v>
      </c>
      <c r="B8" s="37">
        <f t="shared" si="0"/>
        <v>4723.6080000000002</v>
      </c>
      <c r="C8" s="33"/>
      <c r="D8" s="37">
        <f>IF(ISERROR(TER_handel_gas_kWh/1000),0,TER_handel_gas_kWh/1000)*0.902</f>
        <v>2997.4398080000001</v>
      </c>
      <c r="E8" s="33">
        <f>$C$28*'E Balans VL '!I13/100/3.6*1000000</f>
        <v>50.735481267183616</v>
      </c>
      <c r="F8" s="33">
        <f>$C$28*('E Balans VL '!L13+'E Balans VL '!N13)/100/3.6*1000000</f>
        <v>611.51006235074806</v>
      </c>
      <c r="G8" s="34"/>
      <c r="H8" s="33"/>
      <c r="I8" s="33"/>
      <c r="J8" s="33">
        <f>$C$28*('E Balans VL '!D13+'E Balans VL '!E13)/100/3.6*1000000</f>
        <v>0</v>
      </c>
      <c r="K8" s="33"/>
      <c r="L8" s="33"/>
      <c r="M8" s="33"/>
      <c r="N8" s="33">
        <f>$C$28*'E Balans VL '!Y13/100/3.6*1000000</f>
        <v>38.318166016211059</v>
      </c>
      <c r="O8" s="33"/>
      <c r="P8" s="33"/>
      <c r="R8" s="32"/>
    </row>
    <row r="9" spans="1:18">
      <c r="A9" s="32" t="s">
        <v>51</v>
      </c>
      <c r="B9" s="37">
        <f t="shared" si="0"/>
        <v>1119.934</v>
      </c>
      <c r="C9" s="33"/>
      <c r="D9" s="37">
        <f>IF(ISERROR(TER_gezond_gas_kWh/1000),0,TER_gezond_gas_kWh/1000)*0.902</f>
        <v>2520.7201800000003</v>
      </c>
      <c r="E9" s="33">
        <f>$C$29*'E Balans VL '!I10/100/3.6*1000000</f>
        <v>0.89153989939051859</v>
      </c>
      <c r="F9" s="33">
        <f>$C$29*('E Balans VL '!L10+'E Balans VL '!N10)/100/3.6*1000000</f>
        <v>136.14416220404485</v>
      </c>
      <c r="G9" s="34"/>
      <c r="H9" s="33"/>
      <c r="I9" s="33"/>
      <c r="J9" s="33">
        <f>$C$29*('E Balans VL '!D10+'E Balans VL '!E10)/100/3.6*1000000</f>
        <v>0</v>
      </c>
      <c r="K9" s="33"/>
      <c r="L9" s="33"/>
      <c r="M9" s="33"/>
      <c r="N9" s="33">
        <f>$C$29*'E Balans VL '!Y10/100/3.6*1000000</f>
        <v>9.0465301449814497</v>
      </c>
      <c r="O9" s="33"/>
      <c r="P9" s="33"/>
      <c r="R9" s="32"/>
    </row>
    <row r="10" spans="1:18">
      <c r="A10" s="32" t="s">
        <v>50</v>
      </c>
      <c r="B10" s="37">
        <f t="shared" si="0"/>
        <v>2842.9989999999998</v>
      </c>
      <c r="C10" s="33"/>
      <c r="D10" s="37">
        <f>IF(ISERROR(TER_ander_gas_kWh/1000),0,TER_ander_gas_kWh/1000)*0.902</f>
        <v>1212.7020180000002</v>
      </c>
      <c r="E10" s="33">
        <f>$C$30*'E Balans VL '!I14/100/3.6*1000000</f>
        <v>9.7431069250226283</v>
      </c>
      <c r="F10" s="33">
        <f>$C$30*('E Balans VL '!L14+'E Balans VL '!N14)/100/3.6*1000000</f>
        <v>635.0104507291835</v>
      </c>
      <c r="G10" s="34"/>
      <c r="H10" s="33"/>
      <c r="I10" s="33"/>
      <c r="J10" s="33">
        <f>$C$30*('E Balans VL '!D14+'E Balans VL '!E14)/100/3.6*1000000</f>
        <v>0</v>
      </c>
      <c r="K10" s="33"/>
      <c r="L10" s="33"/>
      <c r="M10" s="33"/>
      <c r="N10" s="33">
        <f>$C$30*'E Balans VL '!Y14/100/3.6*1000000</f>
        <v>2002.6240265999481</v>
      </c>
      <c r="O10" s="33"/>
      <c r="P10" s="33"/>
      <c r="R10" s="32"/>
    </row>
    <row r="11" spans="1:18">
      <c r="A11" s="32" t="s">
        <v>55</v>
      </c>
      <c r="B11" s="37">
        <f t="shared" si="0"/>
        <v>669.44899999999996</v>
      </c>
      <c r="C11" s="33"/>
      <c r="D11" s="37">
        <f>IF(ISERROR(TER_onderwijs_gas_kWh/1000),0,TER_onderwijs_gas_kWh/1000)*0.902</f>
        <v>2661.434886</v>
      </c>
      <c r="E11" s="33">
        <f>$C$31*'E Balans VL '!I11/100/3.6*1000000</f>
        <v>0.46276947629341536</v>
      </c>
      <c r="F11" s="33">
        <f>$C$31*('E Balans VL '!L11+'E Balans VL '!N11)/100/3.6*1000000</f>
        <v>175.24230202600455</v>
      </c>
      <c r="G11" s="34"/>
      <c r="H11" s="33"/>
      <c r="I11" s="33"/>
      <c r="J11" s="33">
        <f>$C$31*('E Balans VL '!D11+'E Balans VL '!E11)/100/3.6*1000000</f>
        <v>0</v>
      </c>
      <c r="K11" s="33"/>
      <c r="L11" s="33"/>
      <c r="M11" s="33"/>
      <c r="N11" s="33">
        <f>$C$31*'E Balans VL '!Y11/100/3.6*1000000</f>
        <v>0.66637946028215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14441.853999999999</v>
      </c>
      <c r="C16" s="21">
        <f t="shared" ca="1" si="1"/>
        <v>0</v>
      </c>
      <c r="D16" s="21">
        <f t="shared" ca="1" si="1"/>
        <v>16621.764653999999</v>
      </c>
      <c r="E16" s="21">
        <f t="shared" si="1"/>
        <v>151.72295732502667</v>
      </c>
      <c r="F16" s="21">
        <f t="shared" ca="1" si="1"/>
        <v>2329.0814833619993</v>
      </c>
      <c r="G16" s="21">
        <f t="shared" si="1"/>
        <v>0</v>
      </c>
      <c r="H16" s="21">
        <f t="shared" si="1"/>
        <v>0</v>
      </c>
      <c r="I16" s="21">
        <f t="shared" si="1"/>
        <v>0</v>
      </c>
      <c r="J16" s="21">
        <f t="shared" si="1"/>
        <v>0</v>
      </c>
      <c r="K16" s="21">
        <f t="shared" si="1"/>
        <v>0</v>
      </c>
      <c r="L16" s="21">
        <f t="shared" ca="1" si="1"/>
        <v>0</v>
      </c>
      <c r="M16" s="21">
        <f t="shared" si="1"/>
        <v>0</v>
      </c>
      <c r="N16" s="21">
        <f t="shared" ca="1" si="1"/>
        <v>2082.8074299564428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0.19146930086410466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2765.1716885614733</v>
      </c>
      <c r="C20" s="23">
        <f t="shared" ref="C20:P20" ca="1" si="2">C16*C18</f>
        <v>0</v>
      </c>
      <c r="D20" s="23">
        <f t="shared" ca="1" si="2"/>
        <v>3357.596460108</v>
      </c>
      <c r="E20" s="23">
        <f t="shared" si="2"/>
        <v>34.441111312781054</v>
      </c>
      <c r="F20" s="23">
        <f t="shared" ca="1" si="2"/>
        <v>621.86475605765384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3162.7460000000001</v>
      </c>
      <c r="C26" s="39">
        <f>IF(ISERROR(B26*3.6/1000000/'E Balans VL '!Z12*100),0,B26*3.6/1000000/'E Balans VL '!Z12*100)</f>
        <v>6.9473372390527893E-2</v>
      </c>
      <c r="D26" s="237" t="s">
        <v>692</v>
      </c>
      <c r="F26" s="6"/>
    </row>
    <row r="27" spans="1:18">
      <c r="A27" s="231" t="s">
        <v>53</v>
      </c>
      <c r="B27" s="33">
        <f>IF(ISERROR(TER_horeca_ele_kWh/1000),0,TER_horeca_ele_kWh/1000)</f>
        <v>1923.1179999999999</v>
      </c>
      <c r="C27" s="39">
        <f>IF(ISERROR(B27*3.6/1000000/'E Balans VL '!Z9*100),0,B27*3.6/1000000/'E Balans VL '!Z9*100)</f>
        <v>0.15454170116664082</v>
      </c>
      <c r="D27" s="237" t="s">
        <v>692</v>
      </c>
      <c r="F27" s="6"/>
    </row>
    <row r="28" spans="1:18">
      <c r="A28" s="171" t="s">
        <v>52</v>
      </c>
      <c r="B28" s="33">
        <f>IF(ISERROR(TER_handel_ele_kWh/1000),0,TER_handel_ele_kWh/1000)</f>
        <v>4723.6080000000002</v>
      </c>
      <c r="C28" s="39">
        <f>IF(ISERROR(B28*3.6/1000000/'E Balans VL '!Z13*100),0,B28*3.6/1000000/'E Balans VL '!Z13*100)</f>
        <v>0.13967378857816293</v>
      </c>
      <c r="D28" s="237" t="s">
        <v>692</v>
      </c>
      <c r="F28" s="6"/>
    </row>
    <row r="29" spans="1:18">
      <c r="A29" s="231" t="s">
        <v>51</v>
      </c>
      <c r="B29" s="33">
        <f>IF(ISERROR(TER_gezond_ele_kWh/1000),0,TER_gezond_ele_kWh/1000)</f>
        <v>1119.934</v>
      </c>
      <c r="C29" s="39">
        <f>IF(ISERROR(B29*3.6/1000000/'E Balans VL '!Z10*100),0,B29*3.6/1000000/'E Balans VL '!Z10*100)</f>
        <v>0.12618764765290852</v>
      </c>
      <c r="D29" s="237" t="s">
        <v>692</v>
      </c>
      <c r="F29" s="6"/>
    </row>
    <row r="30" spans="1:18">
      <c r="A30" s="231" t="s">
        <v>50</v>
      </c>
      <c r="B30" s="33">
        <f>IF(ISERROR(TER_ander_ele_kWh/1000),0,TER_ander_ele_kWh/1000)</f>
        <v>2842.9989999999998</v>
      </c>
      <c r="C30" s="39">
        <f>IF(ISERROR(B30*3.6/1000000/'E Balans VL '!Z14*100),0,B30*3.6/1000000/'E Balans VL '!Z14*100)</f>
        <v>0.21501115448273089</v>
      </c>
      <c r="D30" s="237" t="s">
        <v>692</v>
      </c>
      <c r="F30" s="6"/>
    </row>
    <row r="31" spans="1:18">
      <c r="A31" s="231" t="s">
        <v>55</v>
      </c>
      <c r="B31" s="33">
        <f>IF(ISERROR(TER_onderwijs_ele_kWh/1000),0,TER_onderwijs_ele_kWh/1000)</f>
        <v>669.44899999999996</v>
      </c>
      <c r="C31" s="39">
        <f>IF(ISERROR(B31*3.6/1000000/'E Balans VL '!Z11*100),0,B31*3.6/1000000/'E Balans VL '!Z11*100)</f>
        <v>0.13896207180862916</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1489.8469999999998</v>
      </c>
      <c r="C5" s="17">
        <f>IF(ISERROR('Eigen informatie GS &amp; warmtenet'!B59),0,'Eigen informatie GS &amp; warmtenet'!B59)</f>
        <v>0</v>
      </c>
      <c r="D5" s="30">
        <f>SUM(D6:D15)</f>
        <v>1743.752714</v>
      </c>
      <c r="E5" s="17">
        <f>SUM(E6:E15)</f>
        <v>304.05067138202713</v>
      </c>
      <c r="F5" s="17">
        <f>SUM(F6:F15)</f>
        <v>1258.0302702554432</v>
      </c>
      <c r="G5" s="18"/>
      <c r="H5" s="17"/>
      <c r="I5" s="17"/>
      <c r="J5" s="17">
        <f>SUM(J6:J15)</f>
        <v>4.6030790671617625</v>
      </c>
      <c r="K5" s="17"/>
      <c r="L5" s="17"/>
      <c r="M5" s="17"/>
      <c r="N5" s="17">
        <f>SUM(N6:N15)</f>
        <v>457.81718828789406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136.91800000000001</v>
      </c>
      <c r="C8" s="33"/>
      <c r="D8" s="37">
        <f>IF( ISERROR(IND_metaal_Gas_kWH/1000),0,IND_metaal_Gas_kWH/1000)*0.902</f>
        <v>238.52397800000003</v>
      </c>
      <c r="E8" s="33">
        <f>C30*'E Balans VL '!I18/100/3.6*1000000</f>
        <v>3.4265783372662488</v>
      </c>
      <c r="F8" s="33">
        <f>C30*'E Balans VL '!L18/100/3.6*1000000+C30*'E Balans VL '!N18/100/3.6*1000000</f>
        <v>42.910782265157792</v>
      </c>
      <c r="G8" s="34"/>
      <c r="H8" s="33"/>
      <c r="I8" s="33"/>
      <c r="J8" s="40">
        <f>C30*'E Balans VL '!D18/100/3.6*1000000+C30*'E Balans VL '!E18/100/3.6*1000000</f>
        <v>0</v>
      </c>
      <c r="K8" s="33"/>
      <c r="L8" s="33"/>
      <c r="M8" s="33"/>
      <c r="N8" s="33">
        <f>C30*'E Balans VL '!Y18/100/3.6*1000000</f>
        <v>3.4397354931952937</v>
      </c>
      <c r="O8" s="33"/>
      <c r="P8" s="33"/>
      <c r="R8" s="32"/>
    </row>
    <row r="9" spans="1:18">
      <c r="A9" s="6" t="s">
        <v>33</v>
      </c>
      <c r="B9" s="37">
        <f t="shared" si="0"/>
        <v>1080.9269999999999</v>
      </c>
      <c r="C9" s="33"/>
      <c r="D9" s="37">
        <f>IF( ISERROR(IND_andere_gas_kWh/1000),0,IND_andere_gas_kWh/1000)*0.902</f>
        <v>784.62725</v>
      </c>
      <c r="E9" s="33">
        <f>C31*'E Balans VL '!I19/100/3.6*1000000</f>
        <v>297.21059071900174</v>
      </c>
      <c r="F9" s="33">
        <f>C31*'E Balans VL '!L19/100/3.6*1000000+C31*'E Balans VL '!N19/100/3.6*1000000</f>
        <v>851.95857080282303</v>
      </c>
      <c r="G9" s="34"/>
      <c r="H9" s="33"/>
      <c r="I9" s="33"/>
      <c r="J9" s="40">
        <f>C31*'E Balans VL '!D19/100/3.6*1000000+C31*'E Balans VL '!E19/100/3.6*1000000</f>
        <v>0</v>
      </c>
      <c r="K9" s="33"/>
      <c r="L9" s="33"/>
      <c r="M9" s="33"/>
      <c r="N9" s="33">
        <f>C31*'E Balans VL '!Y19/100/3.6*1000000</f>
        <v>349.92460159832996</v>
      </c>
      <c r="O9" s="33"/>
      <c r="P9" s="33"/>
      <c r="R9" s="32"/>
    </row>
    <row r="10" spans="1:18">
      <c r="A10" s="6" t="s">
        <v>41</v>
      </c>
      <c r="B10" s="37">
        <f t="shared" si="0"/>
        <v>187.68899999999999</v>
      </c>
      <c r="C10" s="33"/>
      <c r="D10" s="37">
        <f>IF( ISERROR(IND_voed_gas_kWh/1000),0,IND_voed_gas_kWh/1000)*0.902</f>
        <v>476.99924799999997</v>
      </c>
      <c r="E10" s="33">
        <f>C32*'E Balans VL '!I20/100/3.6*1000000</f>
        <v>1.9133859565399056</v>
      </c>
      <c r="F10" s="33">
        <f>C32*'E Balans VL '!L20/100/3.6*1000000+C32*'E Balans VL '!N20/100/3.6*1000000</f>
        <v>354.54334711862083</v>
      </c>
      <c r="G10" s="34"/>
      <c r="H10" s="33"/>
      <c r="I10" s="33"/>
      <c r="J10" s="40">
        <f>C32*'E Balans VL '!D20/100/3.6*1000000+C32*'E Balans VL '!E20/100/3.6*1000000</f>
        <v>4.49201189118837</v>
      </c>
      <c r="K10" s="33"/>
      <c r="L10" s="33"/>
      <c r="M10" s="33"/>
      <c r="N10" s="33">
        <f>C32*'E Balans VL '!Y20/100/3.6*1000000</f>
        <v>98.933722121786161</v>
      </c>
      <c r="O10" s="33"/>
      <c r="P10" s="33"/>
      <c r="R10" s="32"/>
    </row>
    <row r="11" spans="1:18">
      <c r="A11" s="6" t="s">
        <v>40</v>
      </c>
      <c r="B11" s="37">
        <f t="shared" si="0"/>
        <v>57.838999999999999</v>
      </c>
      <c r="C11" s="33"/>
      <c r="D11" s="37">
        <f>IF( ISERROR(IND_textiel_gas_kWh/1000),0,IND_textiel_gas_kWh/1000)*0.902</f>
        <v>92.492884000000004</v>
      </c>
      <c r="E11" s="33">
        <f>C33*'E Balans VL '!I21/100/3.6*1000000</f>
        <v>0.15330164585112357</v>
      </c>
      <c r="F11" s="33">
        <f>C33*'E Balans VL '!L21/100/3.6*1000000+C33*'E Balans VL '!N21/100/3.6*1000000</f>
        <v>2.5831494053713011</v>
      </c>
      <c r="G11" s="34"/>
      <c r="H11" s="33"/>
      <c r="I11" s="33"/>
      <c r="J11" s="40">
        <f>C33*'E Balans VL '!D21/100/3.6*1000000+C33*'E Balans VL '!E21/100/3.6*1000000</f>
        <v>0</v>
      </c>
      <c r="K11" s="33"/>
      <c r="L11" s="33"/>
      <c r="M11" s="33"/>
      <c r="N11" s="33">
        <f>C33*'E Balans VL '!Y21/100/3.6*1000000</f>
        <v>0.54509122924716125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26.474</v>
      </c>
      <c r="C15" s="33"/>
      <c r="D15" s="37">
        <f>IF( ISERROR(IND_rest_gas_kWh/1000),0,IND_rest_gas_kWh/1000)*0.902</f>
        <v>151.109354</v>
      </c>
      <c r="E15" s="33">
        <f>C37*'E Balans VL '!I15/100/3.6*1000000</f>
        <v>1.3468147233681613</v>
      </c>
      <c r="F15" s="33">
        <f>C37*'E Balans VL '!L15/100/3.6*1000000+C37*'E Balans VL '!N15/100/3.6*1000000</f>
        <v>6.0344206634701196</v>
      </c>
      <c r="G15" s="34"/>
      <c r="H15" s="33"/>
      <c r="I15" s="33"/>
      <c r="J15" s="40">
        <f>C37*'E Balans VL '!D15/100/3.6*1000000+C37*'E Balans VL '!E15/100/3.6*1000000</f>
        <v>0.11106717597339258</v>
      </c>
      <c r="K15" s="33"/>
      <c r="L15" s="33"/>
      <c r="M15" s="33"/>
      <c r="N15" s="33">
        <f>C37*'E Balans VL '!Y15/100/3.6*1000000</f>
        <v>4.9740378453355092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1489.8469999999998</v>
      </c>
      <c r="C18" s="21">
        <f>C5+C16</f>
        <v>0</v>
      </c>
      <c r="D18" s="21">
        <f>MAX((D5+D16),0)</f>
        <v>1743.752714</v>
      </c>
      <c r="E18" s="21">
        <f>MAX((E5+E16),0)</f>
        <v>304.05067138202713</v>
      </c>
      <c r="F18" s="21">
        <f>MAX((F5+F16),0)</f>
        <v>1258.0302702554432</v>
      </c>
      <c r="G18" s="21"/>
      <c r="H18" s="21"/>
      <c r="I18" s="21"/>
      <c r="J18" s="21">
        <f>MAX((J5+J16),0)</f>
        <v>4.6030790671617625</v>
      </c>
      <c r="K18" s="21"/>
      <c r="L18" s="21">
        <f>MAX((L5+L16),0)</f>
        <v>0</v>
      </c>
      <c r="M18" s="21"/>
      <c r="N18" s="21">
        <f>MAX((N5+N16),0)</f>
        <v>457.81718828789406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0.19146930086410466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285.25996348448371</v>
      </c>
      <c r="C22" s="23">
        <f ca="1">C18*C20</f>
        <v>0</v>
      </c>
      <c r="D22" s="23">
        <f>D18*D20</f>
        <v>352.23804822800003</v>
      </c>
      <c r="E22" s="23">
        <f>E18*E20</f>
        <v>69.019502403720168</v>
      </c>
      <c r="F22" s="23">
        <f>F18*F20</f>
        <v>335.89408215820333</v>
      </c>
      <c r="G22" s="23"/>
      <c r="H22" s="23"/>
      <c r="I22" s="23"/>
      <c r="J22" s="23">
        <f>J18*J20</f>
        <v>1.6294899897752639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136.91800000000001</v>
      </c>
      <c r="C30" s="39">
        <f>IF(ISERROR(B30*3.6/1000000/'E Balans VL '!Z18*100),0,B30*3.6/1000000/'E Balans VL '!Z18*100)</f>
        <v>1.9163957157242884E-2</v>
      </c>
      <c r="D30" s="237" t="s">
        <v>692</v>
      </c>
    </row>
    <row r="31" spans="1:18">
      <c r="A31" s="6" t="s">
        <v>33</v>
      </c>
      <c r="B31" s="37">
        <f>IF( ISERROR(IND_ander_ele_kWh/1000),0,IND_ander_ele_kWh/1000)</f>
        <v>1080.9269999999999</v>
      </c>
      <c r="C31" s="39">
        <f>IF(ISERROR(B31*3.6/1000000/'E Balans VL '!Z19*100),0,B31*3.6/1000000/'E Balans VL '!Z19*100)</f>
        <v>4.731199943872768E-2</v>
      </c>
      <c r="D31" s="237" t="s">
        <v>692</v>
      </c>
    </row>
    <row r="32" spans="1:18">
      <c r="A32" s="171" t="s">
        <v>41</v>
      </c>
      <c r="B32" s="37">
        <f>IF( ISERROR(IND_voed_ele_kWh/1000),0,IND_voed_ele_kWh/1000)</f>
        <v>187.68899999999999</v>
      </c>
      <c r="C32" s="39">
        <f>IF(ISERROR(B32*3.6/1000000/'E Balans VL '!Z20*100),0,B32*3.6/1000000/'E Balans VL '!Z20*100)</f>
        <v>4.6465563555748032E-2</v>
      </c>
      <c r="D32" s="237" t="s">
        <v>692</v>
      </c>
    </row>
    <row r="33" spans="1:5">
      <c r="A33" s="171" t="s">
        <v>40</v>
      </c>
      <c r="B33" s="37">
        <f>IF( ISERROR(IND_textiel_ele_kWh/1000),0,IND_textiel_ele_kWh/1000)</f>
        <v>57.838999999999999</v>
      </c>
      <c r="C33" s="39">
        <f>IF(ISERROR(B33*3.6/1000000/'E Balans VL '!Z21*100),0,B33*3.6/1000000/'E Balans VL '!Z21*100)</f>
        <v>6.5174364566283737E-3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26.474</v>
      </c>
      <c r="C37" s="39">
        <f>IF(ISERROR(B37*3.6/1000000/'E Balans VL '!Z15*100),0,B37*3.6/1000000/'E Balans VL '!Z15*100)</f>
        <v>1.9630017745939898E-4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1237.646</v>
      </c>
      <c r="C5" s="17">
        <f>'Eigen informatie GS &amp; warmtenet'!B60</f>
        <v>0</v>
      </c>
      <c r="D5" s="30">
        <f>IF(ISERROR(SUM(LB_lb_gas_kWh,LB_rest_gas_kWh,onbekend_gas_kWh)/1000),0,SUM(LB_lb_gas_kWh,LB_rest_gas_kWh,onbekend_gas_kWh)/1000)*0.902</f>
        <v>1021.9470580000001</v>
      </c>
      <c r="E5" s="17">
        <f>B17*'E Balans VL '!I25/3.6*1000000/100</f>
        <v>11.463595625794715</v>
      </c>
      <c r="F5" s="17">
        <f>B17*('E Balans VL '!L25/3.6*1000000+'E Balans VL '!N25/3.6*1000000)/100</f>
        <v>3140.1436733210471</v>
      </c>
      <c r="G5" s="18"/>
      <c r="H5" s="17"/>
      <c r="I5" s="17"/>
      <c r="J5" s="17">
        <f>('E Balans VL '!D25+'E Balans VL '!E25)/3.6*1000000*landbouw!B17/100</f>
        <v>189.74494396967214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1237.646</v>
      </c>
      <c r="C8" s="21">
        <f>C5+C6</f>
        <v>0</v>
      </c>
      <c r="D8" s="21">
        <f>MAX((D5+D6),0)</f>
        <v>1021.9470580000001</v>
      </c>
      <c r="E8" s="21">
        <f>MAX((E5+E6),0)</f>
        <v>11.463595625794715</v>
      </c>
      <c r="F8" s="21">
        <f>MAX((F5+F6),0)</f>
        <v>3140.1436733210471</v>
      </c>
      <c r="G8" s="21"/>
      <c r="H8" s="21"/>
      <c r="I8" s="21"/>
      <c r="J8" s="21">
        <f>MAX((J5+J6),0)</f>
        <v>189.74494396967214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0.19146930086410466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236.97121433725567</v>
      </c>
      <c r="C12" s="23">
        <f ca="1">C8*C10</f>
        <v>0</v>
      </c>
      <c r="D12" s="23">
        <f>D8*D10</f>
        <v>206.43330571600004</v>
      </c>
      <c r="E12" s="23">
        <f>E8*E10</f>
        <v>2.6022362070554004</v>
      </c>
      <c r="F12" s="23">
        <f>F8*F10</f>
        <v>838.41836077671962</v>
      </c>
      <c r="G12" s="23"/>
      <c r="H12" s="23"/>
      <c r="I12" s="23"/>
      <c r="J12" s="23">
        <f>J8*J10</f>
        <v>67.169710165263936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0.1759670185687856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351.96190651890743</v>
      </c>
      <c r="C26" s="247">
        <f>B26*'GWP N2O_CH4'!B5</f>
        <v>7391.2000368970557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151.71215358672865</v>
      </c>
      <c r="C27" s="247">
        <f>B27*'GWP N2O_CH4'!B5</f>
        <v>3185.9552253213014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5.6237608187251276</v>
      </c>
      <c r="C28" s="247">
        <f>B28*'GWP N2O_CH4'!B4</f>
        <v>1743.3658538047896</v>
      </c>
      <c r="D28" s="50"/>
    </row>
    <row r="29" spans="1:4">
      <c r="A29" s="41" t="s">
        <v>277</v>
      </c>
      <c r="B29" s="247">
        <f>B34*'ha_N2O bodem landbouw'!B4</f>
        <v>11.425752616739267</v>
      </c>
      <c r="C29" s="247">
        <f>B29*'GWP N2O_CH4'!B4</f>
        <v>3541.9833111891726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2.5625950209045992E-3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2.9989089699305299E-5</v>
      </c>
      <c r="C5" s="464" t="s">
        <v>211</v>
      </c>
      <c r="D5" s="449">
        <f>SUM(D6:D11)</f>
        <v>8.9553546157953147E-5</v>
      </c>
      <c r="E5" s="449">
        <f>SUM(E6:E11)</f>
        <v>5.5980094345992677E-4</v>
      </c>
      <c r="F5" s="462" t="s">
        <v>211</v>
      </c>
      <c r="G5" s="449">
        <f>SUM(G6:G11)</f>
        <v>0.15087990212581026</v>
      </c>
      <c r="H5" s="449">
        <f>SUM(H6:H11)</f>
        <v>3.3573855826056744E-2</v>
      </c>
      <c r="I5" s="464" t="s">
        <v>211</v>
      </c>
      <c r="J5" s="464" t="s">
        <v>211</v>
      </c>
      <c r="K5" s="464" t="s">
        <v>211</v>
      </c>
      <c r="L5" s="464" t="s">
        <v>211</v>
      </c>
      <c r="M5" s="449">
        <f>SUM(M6:M11)</f>
        <v>9.7612517704097363E-3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1.8636850993258594E-5</v>
      </c>
      <c r="C6" s="450"/>
      <c r="D6" s="963">
        <f>vkm_2011_GW_PW*SUMIFS(TableVerdeelsleutelVkm[CNG],TableVerdeelsleutelVkm[Voertuigtype],"Lichte voertuigen")*SUMIFS(TableECFTransport[EnergieConsumptieFactor (PJ per km)],TableECFTransport[Index],CONCATENATE($A6,"_CNG_CNG"))</f>
        <v>4.3109088179704976E-5</v>
      </c>
      <c r="E6" s="963">
        <f>vkm_2011_GW_PW*SUMIFS(TableVerdeelsleutelVkm[LPG],TableVerdeelsleutelVkm[Voertuigtype],"Lichte voertuigen")*SUMIFS(TableECFTransport[EnergieConsumptieFactor (PJ per km)],TableECFTransport[Index],CONCATENATE($A6,"_LPG_LPG"))</f>
        <v>2.8070034937708509E-4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5.831342088614043E-2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1.6437348264955746E-2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3.8791774160523624E-3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3.4255260455027775E-2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1.1714676971110583E-5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1.9818609849512028E-3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1.1352238706046705E-5</v>
      </c>
      <c r="C8" s="450"/>
      <c r="D8" s="452">
        <f>vkm_2011_NGW_PW*SUMIFS(TableVerdeelsleutelVkm[CNG],TableVerdeelsleutelVkm[Voertuigtype],"Lichte voertuigen")*SUMIFS(TableECFTransport[EnergieConsumptieFactor (PJ per km)],TableECFTransport[Index],CONCATENATE($A8,"_CNG_CNG"))</f>
        <v>4.6444457978248164E-5</v>
      </c>
      <c r="E8" s="452">
        <f>vkm_2011_NGW_PW*SUMIFS(TableVerdeelsleutelVkm[LPG],TableVerdeelsleutelVkm[Voertuigtype],"Lichte voertuigen")*SUMIFS(TableECFTransport[EnergieConsumptieFactor (PJ per km)],TableECFTransport[Index],CONCATENATE($A8,"_LPG_LPG"))</f>
        <v>2.7910059408284168E-4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5.4200925354106463E-2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1.7123462840408103E-2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3.6624118079919953E-3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4.1102954305355949E-3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1.3300437217857231E-6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2.3780156141417589E-4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8.330302694251472</v>
      </c>
      <c r="C14" s="21"/>
      <c r="D14" s="21">
        <f t="shared" ref="D14:M14" si="0">((D5)*10^9/3600)+D12</f>
        <v>24.875985043875872</v>
      </c>
      <c r="E14" s="21">
        <f t="shared" si="0"/>
        <v>155.50026207220188</v>
      </c>
      <c r="F14" s="21"/>
      <c r="G14" s="21">
        <f t="shared" si="0"/>
        <v>41911.083923836188</v>
      </c>
      <c r="H14" s="21">
        <f t="shared" si="0"/>
        <v>9326.0710627935387</v>
      </c>
      <c r="I14" s="21"/>
      <c r="J14" s="21"/>
      <c r="K14" s="21"/>
      <c r="L14" s="21"/>
      <c r="M14" s="21">
        <f t="shared" si="0"/>
        <v>2711.4588251138157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0.19146930086410466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1.5949972328546966</v>
      </c>
      <c r="C18" s="23"/>
      <c r="D18" s="23">
        <f t="shared" ref="D18:M18" si="1">D14*D16</f>
        <v>5.024948978862926</v>
      </c>
      <c r="E18" s="23">
        <f t="shared" si="1"/>
        <v>35.298559490389827</v>
      </c>
      <c r="F18" s="23"/>
      <c r="G18" s="23">
        <f t="shared" si="1"/>
        <v>11190.259407664264</v>
      </c>
      <c r="H18" s="23">
        <f t="shared" si="1"/>
        <v>2322.1916946355909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6.0668543794993807E-3</v>
      </c>
      <c r="H50" s="321">
        <f t="shared" si="2"/>
        <v>0</v>
      </c>
      <c r="I50" s="321">
        <f t="shared" si="2"/>
        <v>0</v>
      </c>
      <c r="J50" s="321">
        <f t="shared" si="2"/>
        <v>0</v>
      </c>
      <c r="K50" s="321">
        <f t="shared" si="2"/>
        <v>0</v>
      </c>
      <c r="L50" s="321">
        <f t="shared" si="2"/>
        <v>0</v>
      </c>
      <c r="M50" s="321">
        <f t="shared" si="2"/>
        <v>3.4597501942694908E-4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6.0668543794993807E-3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3.4597501942694908E-4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1685.2373276387168</v>
      </c>
      <c r="H54" s="21">
        <f t="shared" si="3"/>
        <v>0</v>
      </c>
      <c r="I54" s="21">
        <f t="shared" si="3"/>
        <v>0</v>
      </c>
      <c r="J54" s="21">
        <f t="shared" si="3"/>
        <v>0</v>
      </c>
      <c r="K54" s="21">
        <f t="shared" si="3"/>
        <v>0</v>
      </c>
      <c r="L54" s="21">
        <f t="shared" si="3"/>
        <v>0</v>
      </c>
      <c r="M54" s="21">
        <f t="shared" si="3"/>
        <v>96.104172063041418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0.19146930086410466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449.9583664795374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6770.368925253254</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6770.368925253254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15581.973999999998</v>
      </c>
      <c r="D10" s="719">
        <f ca="1">tertiair!C16</f>
        <v>0</v>
      </c>
      <c r="E10" s="719">
        <f ca="1">tertiair!D16</f>
        <v>16621.764653999999</v>
      </c>
      <c r="F10" s="719">
        <f>tertiair!E16</f>
        <v>151.72295732502667</v>
      </c>
      <c r="G10" s="719">
        <f ca="1">tertiair!F16</f>
        <v>2329.0814833619993</v>
      </c>
      <c r="H10" s="719">
        <f>tertiair!G16</f>
        <v>0</v>
      </c>
      <c r="I10" s="719">
        <f>tertiair!H16</f>
        <v>0</v>
      </c>
      <c r="J10" s="719">
        <f>tertiair!I16</f>
        <v>0</v>
      </c>
      <c r="K10" s="719">
        <f>tertiair!J16</f>
        <v>0</v>
      </c>
      <c r="L10" s="719">
        <f>tertiair!K16</f>
        <v>0</v>
      </c>
      <c r="M10" s="719">
        <f ca="1">tertiair!L16</f>
        <v>0</v>
      </c>
      <c r="N10" s="719">
        <f>tertiair!M16</f>
        <v>0</v>
      </c>
      <c r="O10" s="719">
        <f ca="1">tertiair!N16</f>
        <v>2082.8074299564428</v>
      </c>
      <c r="P10" s="719">
        <f>tertiair!O16</f>
        <v>0</v>
      </c>
      <c r="Q10" s="720">
        <f>tertiair!P16</f>
        <v>19.066666666666666</v>
      </c>
      <c r="R10" s="722">
        <f ca="1">SUM(C10:Q10)</f>
        <v>36786.417191310131</v>
      </c>
      <c r="S10" s="67"/>
    </row>
    <row r="11" spans="1:19" s="475" customFormat="1">
      <c r="A11" s="871" t="s">
        <v>225</v>
      </c>
      <c r="B11" s="876"/>
      <c r="C11" s="719">
        <f>huishoudens!B8</f>
        <v>32349.866391804491</v>
      </c>
      <c r="D11" s="719">
        <f>huishoudens!C8</f>
        <v>0</v>
      </c>
      <c r="E11" s="719">
        <f>huishoudens!D8</f>
        <v>66335.226760000005</v>
      </c>
      <c r="F11" s="719">
        <f>huishoudens!E8</f>
        <v>3857.8853889674265</v>
      </c>
      <c r="G11" s="719">
        <f>huishoudens!F8</f>
        <v>21103.713405109862</v>
      </c>
      <c r="H11" s="719">
        <f>huishoudens!G8</f>
        <v>0</v>
      </c>
      <c r="I11" s="719">
        <f>huishoudens!H8</f>
        <v>0</v>
      </c>
      <c r="J11" s="719">
        <f>huishoudens!I8</f>
        <v>0</v>
      </c>
      <c r="K11" s="719">
        <f>huishoudens!J8</f>
        <v>0</v>
      </c>
      <c r="L11" s="719">
        <f>huishoudens!K8</f>
        <v>0</v>
      </c>
      <c r="M11" s="719">
        <f>huishoudens!L8</f>
        <v>0</v>
      </c>
      <c r="N11" s="719">
        <f>huishoudens!M8</f>
        <v>0</v>
      </c>
      <c r="O11" s="719">
        <f>huishoudens!N8</f>
        <v>13916.443420495387</v>
      </c>
      <c r="P11" s="719">
        <f>huishoudens!O8</f>
        <v>489.32333333333338</v>
      </c>
      <c r="Q11" s="720">
        <f>huishoudens!P8</f>
        <v>705.4666666666667</v>
      </c>
      <c r="R11" s="722">
        <f>SUM(C11:Q11)</f>
        <v>138757.9253663772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1489.8469999999998</v>
      </c>
      <c r="D13" s="719">
        <f>industrie!C18</f>
        <v>0</v>
      </c>
      <c r="E13" s="719">
        <f>industrie!D18</f>
        <v>1743.752714</v>
      </c>
      <c r="F13" s="719">
        <f>industrie!E18</f>
        <v>304.05067138202713</v>
      </c>
      <c r="G13" s="719">
        <f>industrie!F18</f>
        <v>1258.0302702554432</v>
      </c>
      <c r="H13" s="719">
        <f>industrie!G18</f>
        <v>0</v>
      </c>
      <c r="I13" s="719">
        <f>industrie!H18</f>
        <v>0</v>
      </c>
      <c r="J13" s="719">
        <f>industrie!I18</f>
        <v>0</v>
      </c>
      <c r="K13" s="719">
        <f>industrie!J18</f>
        <v>4.6030790671617625</v>
      </c>
      <c r="L13" s="719">
        <f>industrie!K18</f>
        <v>0</v>
      </c>
      <c r="M13" s="719">
        <f>industrie!L18</f>
        <v>0</v>
      </c>
      <c r="N13" s="719">
        <f>industrie!M18</f>
        <v>0</v>
      </c>
      <c r="O13" s="719">
        <f>industrie!N18</f>
        <v>457.81718828789406</v>
      </c>
      <c r="P13" s="719">
        <f>industrie!O18</f>
        <v>0</v>
      </c>
      <c r="Q13" s="720">
        <f>industrie!P18</f>
        <v>0</v>
      </c>
      <c r="R13" s="722">
        <f>SUM(C13:Q13)</f>
        <v>5258.1009229925266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49421.687391804495</v>
      </c>
      <c r="D15" s="724">
        <f t="shared" ref="D15:Q15" ca="1" si="0">SUM(D9:D14)</f>
        <v>0</v>
      </c>
      <c r="E15" s="724">
        <f t="shared" ca="1" si="0"/>
        <v>84700.744128000006</v>
      </c>
      <c r="F15" s="724">
        <f t="shared" si="0"/>
        <v>4313.6590176744803</v>
      </c>
      <c r="G15" s="724">
        <f t="shared" ca="1" si="0"/>
        <v>24690.825158727304</v>
      </c>
      <c r="H15" s="724">
        <f t="shared" si="0"/>
        <v>0</v>
      </c>
      <c r="I15" s="724">
        <f t="shared" si="0"/>
        <v>0</v>
      </c>
      <c r="J15" s="724">
        <f t="shared" si="0"/>
        <v>0</v>
      </c>
      <c r="K15" s="724">
        <f t="shared" si="0"/>
        <v>4.6030790671617625</v>
      </c>
      <c r="L15" s="724">
        <f t="shared" si="0"/>
        <v>0</v>
      </c>
      <c r="M15" s="724">
        <f t="shared" ca="1" si="0"/>
        <v>0</v>
      </c>
      <c r="N15" s="724">
        <f t="shared" si="0"/>
        <v>0</v>
      </c>
      <c r="O15" s="724">
        <f t="shared" ca="1" si="0"/>
        <v>16457.068038739722</v>
      </c>
      <c r="P15" s="724">
        <f t="shared" si="0"/>
        <v>489.32333333333338</v>
      </c>
      <c r="Q15" s="725">
        <f t="shared" si="0"/>
        <v>724.53333333333342</v>
      </c>
      <c r="R15" s="726">
        <f ca="1">SUM(R9:R14)</f>
        <v>180802.44348067985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1685.2373276387168</v>
      </c>
      <c r="I18" s="719">
        <f>transport!H54</f>
        <v>0</v>
      </c>
      <c r="J18" s="719">
        <f>transport!I54</f>
        <v>0</v>
      </c>
      <c r="K18" s="719">
        <f>transport!J54</f>
        <v>0</v>
      </c>
      <c r="L18" s="719">
        <f>transport!K54</f>
        <v>0</v>
      </c>
      <c r="M18" s="719">
        <f>transport!L54</f>
        <v>0</v>
      </c>
      <c r="N18" s="719">
        <f>transport!M54</f>
        <v>96.104172063041418</v>
      </c>
      <c r="O18" s="719">
        <f>transport!N54</f>
        <v>0</v>
      </c>
      <c r="P18" s="719">
        <f>transport!O54</f>
        <v>0</v>
      </c>
      <c r="Q18" s="720">
        <f>transport!P54</f>
        <v>0</v>
      </c>
      <c r="R18" s="722">
        <f>SUM(C18:Q18)</f>
        <v>1781.3414997017583</v>
      </c>
      <c r="S18" s="67"/>
    </row>
    <row r="19" spans="1:19" s="475" customFormat="1" ht="15" thickBot="1">
      <c r="A19" s="871" t="s">
        <v>307</v>
      </c>
      <c r="B19" s="876"/>
      <c r="C19" s="728">
        <f>transport!B14</f>
        <v>8.330302694251472</v>
      </c>
      <c r="D19" s="728">
        <f>transport!C14</f>
        <v>0</v>
      </c>
      <c r="E19" s="728">
        <f>transport!D14</f>
        <v>24.875985043875872</v>
      </c>
      <c r="F19" s="728">
        <f>transport!E14</f>
        <v>155.50026207220188</v>
      </c>
      <c r="G19" s="728">
        <f>transport!F14</f>
        <v>0</v>
      </c>
      <c r="H19" s="728">
        <f>transport!G14</f>
        <v>41911.083923836188</v>
      </c>
      <c r="I19" s="728">
        <f>transport!H14</f>
        <v>9326.0710627935387</v>
      </c>
      <c r="J19" s="728">
        <f>transport!I14</f>
        <v>0</v>
      </c>
      <c r="K19" s="728">
        <f>transport!J14</f>
        <v>0</v>
      </c>
      <c r="L19" s="728">
        <f>transport!K14</f>
        <v>0</v>
      </c>
      <c r="M19" s="728">
        <f>transport!L14</f>
        <v>0</v>
      </c>
      <c r="N19" s="728">
        <f>transport!M14</f>
        <v>2711.4588251138157</v>
      </c>
      <c r="O19" s="728">
        <f>transport!N14</f>
        <v>0</v>
      </c>
      <c r="P19" s="728">
        <f>transport!O14</f>
        <v>0</v>
      </c>
      <c r="Q19" s="729">
        <f>transport!P14</f>
        <v>0</v>
      </c>
      <c r="R19" s="730">
        <f>SUM(C19:Q19)</f>
        <v>54137.320361553866</v>
      </c>
      <c r="S19" s="67"/>
    </row>
    <row r="20" spans="1:19" s="475" customFormat="1" ht="15.75" thickBot="1">
      <c r="A20" s="731" t="s">
        <v>230</v>
      </c>
      <c r="B20" s="879"/>
      <c r="C20" s="874">
        <f>SUM(C17:C19)</f>
        <v>8.330302694251472</v>
      </c>
      <c r="D20" s="732">
        <f t="shared" ref="D20:R20" si="1">SUM(D17:D19)</f>
        <v>0</v>
      </c>
      <c r="E20" s="732">
        <f t="shared" si="1"/>
        <v>24.875985043875872</v>
      </c>
      <c r="F20" s="732">
        <f t="shared" si="1"/>
        <v>155.50026207220188</v>
      </c>
      <c r="G20" s="732">
        <f t="shared" si="1"/>
        <v>0</v>
      </c>
      <c r="H20" s="732">
        <f t="shared" si="1"/>
        <v>43596.321251474903</v>
      </c>
      <c r="I20" s="732">
        <f t="shared" si="1"/>
        <v>9326.0710627935387</v>
      </c>
      <c r="J20" s="732">
        <f t="shared" si="1"/>
        <v>0</v>
      </c>
      <c r="K20" s="732">
        <f t="shared" si="1"/>
        <v>0</v>
      </c>
      <c r="L20" s="732">
        <f t="shared" si="1"/>
        <v>0</v>
      </c>
      <c r="M20" s="732">
        <f t="shared" si="1"/>
        <v>0</v>
      </c>
      <c r="N20" s="732">
        <f t="shared" si="1"/>
        <v>2807.5629971768572</v>
      </c>
      <c r="O20" s="732">
        <f t="shared" si="1"/>
        <v>0</v>
      </c>
      <c r="P20" s="732">
        <f t="shared" si="1"/>
        <v>0</v>
      </c>
      <c r="Q20" s="733">
        <f t="shared" si="1"/>
        <v>0</v>
      </c>
      <c r="R20" s="734">
        <f t="shared" si="1"/>
        <v>55918.661861255627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1237.646</v>
      </c>
      <c r="D22" s="728">
        <f>+landbouw!C8</f>
        <v>0</v>
      </c>
      <c r="E22" s="728">
        <f>+landbouw!D8</f>
        <v>1021.9470580000001</v>
      </c>
      <c r="F22" s="728">
        <f>+landbouw!E8</f>
        <v>11.463595625794715</v>
      </c>
      <c r="G22" s="728">
        <f>+landbouw!F8</f>
        <v>3140.1436733210471</v>
      </c>
      <c r="H22" s="728">
        <f>+landbouw!G8</f>
        <v>0</v>
      </c>
      <c r="I22" s="728">
        <f>+landbouw!H8</f>
        <v>0</v>
      </c>
      <c r="J22" s="728">
        <f>+landbouw!I8</f>
        <v>0</v>
      </c>
      <c r="K22" s="728">
        <f>+landbouw!J8</f>
        <v>189.74494396967214</v>
      </c>
      <c r="L22" s="728">
        <f>+landbouw!K8</f>
        <v>0</v>
      </c>
      <c r="M22" s="728">
        <f>+landbouw!L8</f>
        <v>0</v>
      </c>
      <c r="N22" s="728">
        <f>+landbouw!M8</f>
        <v>0</v>
      </c>
      <c r="O22" s="728">
        <f>+landbouw!N8</f>
        <v>0</v>
      </c>
      <c r="P22" s="728">
        <f>+landbouw!O8</f>
        <v>0</v>
      </c>
      <c r="Q22" s="729">
        <f>+landbouw!P8</f>
        <v>0</v>
      </c>
      <c r="R22" s="730">
        <f>SUM(C22:Q22)</f>
        <v>5600.9452709165143</v>
      </c>
      <c r="S22" s="67"/>
    </row>
    <row r="23" spans="1:19" s="475" customFormat="1" ht="17.25" thickTop="1" thickBot="1">
      <c r="A23" s="735" t="s">
        <v>116</v>
      </c>
      <c r="B23" s="865"/>
      <c r="C23" s="736">
        <f ca="1">C20+C15+C22</f>
        <v>50667.663694498748</v>
      </c>
      <c r="D23" s="736">
        <f t="shared" ref="D23:Q23" ca="1" si="2">D20+D15+D22</f>
        <v>0</v>
      </c>
      <c r="E23" s="736">
        <f t="shared" ca="1" si="2"/>
        <v>85747.567171043891</v>
      </c>
      <c r="F23" s="736">
        <f t="shared" si="2"/>
        <v>4480.6228753724763</v>
      </c>
      <c r="G23" s="736">
        <f t="shared" ca="1" si="2"/>
        <v>27830.968832048351</v>
      </c>
      <c r="H23" s="736">
        <f t="shared" si="2"/>
        <v>43596.321251474903</v>
      </c>
      <c r="I23" s="736">
        <f t="shared" si="2"/>
        <v>9326.0710627935387</v>
      </c>
      <c r="J23" s="736">
        <f t="shared" si="2"/>
        <v>0</v>
      </c>
      <c r="K23" s="736">
        <f t="shared" si="2"/>
        <v>194.34802303683389</v>
      </c>
      <c r="L23" s="736">
        <f t="shared" si="2"/>
        <v>0</v>
      </c>
      <c r="M23" s="736">
        <f t="shared" ca="1" si="2"/>
        <v>0</v>
      </c>
      <c r="N23" s="736">
        <f t="shared" si="2"/>
        <v>2807.5629971768572</v>
      </c>
      <c r="O23" s="736">
        <f t="shared" ca="1" si="2"/>
        <v>16457.068038739722</v>
      </c>
      <c r="P23" s="736">
        <f t="shared" si="2"/>
        <v>489.32333333333338</v>
      </c>
      <c r="Q23" s="737">
        <f t="shared" si="2"/>
        <v>724.53333333333342</v>
      </c>
      <c r="R23" s="738">
        <f ca="1">R20+R15+R22</f>
        <v>242322.05061285198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2983.469667862656</v>
      </c>
      <c r="D36" s="719">
        <f ca="1">tertiair!C20</f>
        <v>0</v>
      </c>
      <c r="E36" s="719">
        <f ca="1">tertiair!D20</f>
        <v>3357.596460108</v>
      </c>
      <c r="F36" s="719">
        <f>tertiair!E20</f>
        <v>34.441111312781054</v>
      </c>
      <c r="G36" s="719">
        <f ca="1">tertiair!F20</f>
        <v>621.86475605765384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6997.371995341091</v>
      </c>
    </row>
    <row r="37" spans="1:18">
      <c r="A37" s="886" t="s">
        <v>225</v>
      </c>
      <c r="B37" s="893"/>
      <c r="C37" s="719">
        <f ca="1">huishoudens!B12</f>
        <v>6194.0063010860022</v>
      </c>
      <c r="D37" s="719">
        <f ca="1">huishoudens!C12</f>
        <v>0</v>
      </c>
      <c r="E37" s="719">
        <f>huishoudens!D12</f>
        <v>13399.715805520002</v>
      </c>
      <c r="F37" s="719">
        <f>huishoudens!E12</f>
        <v>875.73998329560584</v>
      </c>
      <c r="G37" s="719">
        <f>huishoudens!F12</f>
        <v>5634.691479164333</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26104.153569065944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285.25996348448371</v>
      </c>
      <c r="D39" s="719">
        <f ca="1">industrie!C22</f>
        <v>0</v>
      </c>
      <c r="E39" s="719">
        <f>industrie!D22</f>
        <v>352.23804822800003</v>
      </c>
      <c r="F39" s="719">
        <f>industrie!E22</f>
        <v>69.019502403720168</v>
      </c>
      <c r="G39" s="719">
        <f>industrie!F22</f>
        <v>335.89408215820333</v>
      </c>
      <c r="H39" s="719">
        <f>industrie!G22</f>
        <v>0</v>
      </c>
      <c r="I39" s="719">
        <f>industrie!H22</f>
        <v>0</v>
      </c>
      <c r="J39" s="719">
        <f>industrie!I22</f>
        <v>0</v>
      </c>
      <c r="K39" s="719">
        <f>industrie!J22</f>
        <v>1.6294899897752639</v>
      </c>
      <c r="L39" s="719">
        <f>industrie!K22</f>
        <v>0</v>
      </c>
      <c r="M39" s="719">
        <f>industrie!L22</f>
        <v>0</v>
      </c>
      <c r="N39" s="719">
        <f>industrie!M22</f>
        <v>0</v>
      </c>
      <c r="O39" s="719">
        <f>industrie!N22</f>
        <v>0</v>
      </c>
      <c r="P39" s="719">
        <f>industrie!O22</f>
        <v>0</v>
      </c>
      <c r="Q39" s="829">
        <f>industrie!P22</f>
        <v>0</v>
      </c>
      <c r="R39" s="919">
        <f ca="1">SUM(C39:Q39)</f>
        <v>1044.0410862641825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9462.735932433141</v>
      </c>
      <c r="D41" s="764">
        <f t="shared" ref="D41:R41" ca="1" si="4">SUM(D35:D40)</f>
        <v>0</v>
      </c>
      <c r="E41" s="764">
        <f t="shared" ca="1" si="4"/>
        <v>17109.550313856002</v>
      </c>
      <c r="F41" s="764">
        <f t="shared" si="4"/>
        <v>979.20059701210698</v>
      </c>
      <c r="G41" s="764">
        <f t="shared" ca="1" si="4"/>
        <v>6592.4503173801904</v>
      </c>
      <c r="H41" s="764">
        <f t="shared" si="4"/>
        <v>0</v>
      </c>
      <c r="I41" s="764">
        <f t="shared" si="4"/>
        <v>0</v>
      </c>
      <c r="J41" s="764">
        <f t="shared" si="4"/>
        <v>0</v>
      </c>
      <c r="K41" s="764">
        <f t="shared" si="4"/>
        <v>1.6294899897752639</v>
      </c>
      <c r="L41" s="764">
        <f t="shared" si="4"/>
        <v>0</v>
      </c>
      <c r="M41" s="764">
        <f t="shared" ca="1" si="4"/>
        <v>0</v>
      </c>
      <c r="N41" s="764">
        <f t="shared" si="4"/>
        <v>0</v>
      </c>
      <c r="O41" s="764">
        <f t="shared" ca="1" si="4"/>
        <v>0</v>
      </c>
      <c r="P41" s="764">
        <f t="shared" si="4"/>
        <v>0</v>
      </c>
      <c r="Q41" s="765">
        <f t="shared" si="4"/>
        <v>0</v>
      </c>
      <c r="R41" s="766">
        <f t="shared" ca="1" si="4"/>
        <v>34145.566650671215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449.9583664795374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449.9583664795374</v>
      </c>
    </row>
    <row r="45" spans="1:18" ht="15" thickBot="1">
      <c r="A45" s="889" t="s">
        <v>307</v>
      </c>
      <c r="B45" s="899"/>
      <c r="C45" s="728">
        <f ca="1">transport!B18</f>
        <v>1.5949972328546966</v>
      </c>
      <c r="D45" s="728">
        <f>transport!C18</f>
        <v>0</v>
      </c>
      <c r="E45" s="728">
        <f>transport!D18</f>
        <v>5.024948978862926</v>
      </c>
      <c r="F45" s="728">
        <f>transport!E18</f>
        <v>35.298559490389827</v>
      </c>
      <c r="G45" s="728">
        <f>transport!F18</f>
        <v>0</v>
      </c>
      <c r="H45" s="728">
        <f>transport!G18</f>
        <v>11190.259407664264</v>
      </c>
      <c r="I45" s="728">
        <f>transport!H18</f>
        <v>2322.1916946355909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13554.369608001962</v>
      </c>
    </row>
    <row r="46" spans="1:18" ht="15.75" thickBot="1">
      <c r="A46" s="887" t="s">
        <v>230</v>
      </c>
      <c r="B46" s="900"/>
      <c r="C46" s="764">
        <f t="shared" ref="C46:R46" ca="1" si="5">SUM(C43:C45)</f>
        <v>1.5949972328546966</v>
      </c>
      <c r="D46" s="764">
        <f t="shared" ca="1" si="5"/>
        <v>0</v>
      </c>
      <c r="E46" s="764">
        <f t="shared" si="5"/>
        <v>5.024948978862926</v>
      </c>
      <c r="F46" s="764">
        <f t="shared" si="5"/>
        <v>35.298559490389827</v>
      </c>
      <c r="G46" s="764">
        <f t="shared" si="5"/>
        <v>0</v>
      </c>
      <c r="H46" s="764">
        <f t="shared" si="5"/>
        <v>11640.217774143801</v>
      </c>
      <c r="I46" s="764">
        <f t="shared" si="5"/>
        <v>2322.1916946355909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14004.327974481499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236.97121433725567</v>
      </c>
      <c r="D48" s="719">
        <f ca="1">+landbouw!C12</f>
        <v>0</v>
      </c>
      <c r="E48" s="719">
        <f>+landbouw!D12</f>
        <v>206.43330571600004</v>
      </c>
      <c r="F48" s="719">
        <f>+landbouw!E12</f>
        <v>2.6022362070554004</v>
      </c>
      <c r="G48" s="719">
        <f>+landbouw!F12</f>
        <v>838.41836077671962</v>
      </c>
      <c r="H48" s="719">
        <f>+landbouw!G12</f>
        <v>0</v>
      </c>
      <c r="I48" s="719">
        <f>+landbouw!H12</f>
        <v>0</v>
      </c>
      <c r="J48" s="719">
        <f>+landbouw!I12</f>
        <v>0</v>
      </c>
      <c r="K48" s="719">
        <f>+landbouw!J12</f>
        <v>67.169710165263936</v>
      </c>
      <c r="L48" s="719">
        <f>+landbouw!K12</f>
        <v>0</v>
      </c>
      <c r="M48" s="719">
        <f>+landbouw!L12</f>
        <v>0</v>
      </c>
      <c r="N48" s="719">
        <f>+landbouw!M12</f>
        <v>0</v>
      </c>
      <c r="O48" s="719">
        <f>+landbouw!N12</f>
        <v>0</v>
      </c>
      <c r="P48" s="719">
        <f>+landbouw!O12</f>
        <v>0</v>
      </c>
      <c r="Q48" s="720">
        <f>+landbouw!P12</f>
        <v>0</v>
      </c>
      <c r="R48" s="762">
        <f ca="1">SUM(C48:Q48)</f>
        <v>1351.5948272022947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9701.3021440032517</v>
      </c>
      <c r="D53" s="774">
        <f t="shared" ref="D53:Q53" ca="1" si="6">D41+D46+D48</f>
        <v>0</v>
      </c>
      <c r="E53" s="774">
        <f t="shared" ca="1" si="6"/>
        <v>17321.008568550864</v>
      </c>
      <c r="F53" s="774">
        <f t="shared" si="6"/>
        <v>1017.1013927095522</v>
      </c>
      <c r="G53" s="774">
        <f t="shared" ca="1" si="6"/>
        <v>7430.8686781569104</v>
      </c>
      <c r="H53" s="774">
        <f t="shared" si="6"/>
        <v>11640.217774143801</v>
      </c>
      <c r="I53" s="774">
        <f t="shared" si="6"/>
        <v>2322.1916946355909</v>
      </c>
      <c r="J53" s="774">
        <f t="shared" si="6"/>
        <v>0</v>
      </c>
      <c r="K53" s="774">
        <f t="shared" si="6"/>
        <v>68.799200155039202</v>
      </c>
      <c r="L53" s="774">
        <f t="shared" si="6"/>
        <v>0</v>
      </c>
      <c r="M53" s="774">
        <f t="shared" ca="1" si="6"/>
        <v>0</v>
      </c>
      <c r="N53" s="774">
        <f t="shared" si="6"/>
        <v>0</v>
      </c>
      <c r="O53" s="774">
        <f t="shared" ca="1" si="6"/>
        <v>0</v>
      </c>
      <c r="P53" s="774">
        <f>P41+P46+P48</f>
        <v>0</v>
      </c>
      <c r="Q53" s="775">
        <f t="shared" si="6"/>
        <v>0</v>
      </c>
      <c r="R53" s="776">
        <f ca="1">R41+R46+R48</f>
        <v>49501.48945235501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0.19146930086410463</v>
      </c>
      <c r="D55" s="837">
        <f t="shared" ca="1" si="7"/>
        <v>0</v>
      </c>
      <c r="E55" s="837">
        <f t="shared" ca="1" si="7"/>
        <v>0.20199999999999999</v>
      </c>
      <c r="F55" s="837">
        <f t="shared" si="7"/>
        <v>0.22700000000000001</v>
      </c>
      <c r="G55" s="837">
        <f t="shared" ca="1" si="7"/>
        <v>0.26700000000000002</v>
      </c>
      <c r="H55" s="837">
        <f t="shared" si="7"/>
        <v>0.26700000000000002</v>
      </c>
      <c r="I55" s="837">
        <f t="shared" si="7"/>
        <v>0.24899999999999997</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6770.368925253254</v>
      </c>
      <c r="C66" s="796">
        <f>'lokale energieproductie'!B6</f>
        <v>6770.368925253254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6770.368925253254</v>
      </c>
      <c r="C69" s="804">
        <f>SUM(C64:C68)</f>
        <v>6770.368925253254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32349.866391804491</v>
      </c>
      <c r="C4" s="479">
        <f>huishoudens!C8</f>
        <v>0</v>
      </c>
      <c r="D4" s="479">
        <f>huishoudens!D8</f>
        <v>66335.226760000005</v>
      </c>
      <c r="E4" s="479">
        <f>huishoudens!E8</f>
        <v>3857.8853889674265</v>
      </c>
      <c r="F4" s="479">
        <f>huishoudens!F8</f>
        <v>21103.713405109862</v>
      </c>
      <c r="G4" s="479">
        <f>huishoudens!G8</f>
        <v>0</v>
      </c>
      <c r="H4" s="479">
        <f>huishoudens!H8</f>
        <v>0</v>
      </c>
      <c r="I4" s="479">
        <f>huishoudens!I8</f>
        <v>0</v>
      </c>
      <c r="J4" s="479">
        <f>huishoudens!J8</f>
        <v>0</v>
      </c>
      <c r="K4" s="479">
        <f>huishoudens!K8</f>
        <v>0</v>
      </c>
      <c r="L4" s="479">
        <f>huishoudens!L8</f>
        <v>0</v>
      </c>
      <c r="M4" s="479">
        <f>huishoudens!M8</f>
        <v>0</v>
      </c>
      <c r="N4" s="479">
        <f>huishoudens!N8</f>
        <v>13916.443420495387</v>
      </c>
      <c r="O4" s="479">
        <f>huishoudens!O8</f>
        <v>489.32333333333338</v>
      </c>
      <c r="P4" s="480">
        <f>huishoudens!P8</f>
        <v>705.4666666666667</v>
      </c>
      <c r="Q4" s="481">
        <f>SUM(B4:P4)</f>
        <v>138757.9253663772</v>
      </c>
    </row>
    <row r="5" spans="1:17">
      <c r="A5" s="478" t="s">
        <v>156</v>
      </c>
      <c r="B5" s="479">
        <f ca="1">tertiair!B16</f>
        <v>14441.853999999999</v>
      </c>
      <c r="C5" s="479">
        <f ca="1">tertiair!C16</f>
        <v>0</v>
      </c>
      <c r="D5" s="479">
        <f ca="1">tertiair!D16</f>
        <v>16621.764653999999</v>
      </c>
      <c r="E5" s="479">
        <f>tertiair!E16</f>
        <v>151.72295732502667</v>
      </c>
      <c r="F5" s="479">
        <f ca="1">tertiair!F16</f>
        <v>2329.0814833619993</v>
      </c>
      <c r="G5" s="479">
        <f>tertiair!G16</f>
        <v>0</v>
      </c>
      <c r="H5" s="479">
        <f>tertiair!H16</f>
        <v>0</v>
      </c>
      <c r="I5" s="479">
        <f>tertiair!I16</f>
        <v>0</v>
      </c>
      <c r="J5" s="479">
        <f>tertiair!J16</f>
        <v>0</v>
      </c>
      <c r="K5" s="479">
        <f>tertiair!K16</f>
        <v>0</v>
      </c>
      <c r="L5" s="479">
        <f ca="1">tertiair!L16</f>
        <v>0</v>
      </c>
      <c r="M5" s="479">
        <f>tertiair!M16</f>
        <v>0</v>
      </c>
      <c r="N5" s="479">
        <f ca="1">tertiair!N16</f>
        <v>2082.8074299564428</v>
      </c>
      <c r="O5" s="479">
        <f>tertiair!O16</f>
        <v>0</v>
      </c>
      <c r="P5" s="480">
        <f>tertiair!P16</f>
        <v>19.066666666666666</v>
      </c>
      <c r="Q5" s="478">
        <f t="shared" ref="Q5:Q13" ca="1" si="0">SUM(B5:P5)</f>
        <v>35646.297191310128</v>
      </c>
    </row>
    <row r="6" spans="1:17">
      <c r="A6" s="478" t="s">
        <v>194</v>
      </c>
      <c r="B6" s="479">
        <f>'openbare verlichting'!B8</f>
        <v>1140.1199999999999</v>
      </c>
      <c r="C6" s="479"/>
      <c r="D6" s="479"/>
      <c r="E6" s="479"/>
      <c r="F6" s="479"/>
      <c r="G6" s="479"/>
      <c r="H6" s="479"/>
      <c r="I6" s="479"/>
      <c r="J6" s="479"/>
      <c r="K6" s="479"/>
      <c r="L6" s="479"/>
      <c r="M6" s="479"/>
      <c r="N6" s="479"/>
      <c r="O6" s="479"/>
      <c r="P6" s="480"/>
      <c r="Q6" s="478">
        <f t="shared" si="0"/>
        <v>1140.1199999999999</v>
      </c>
    </row>
    <row r="7" spans="1:17">
      <c r="A7" s="478" t="s">
        <v>112</v>
      </c>
      <c r="B7" s="479">
        <f>landbouw!B8</f>
        <v>1237.646</v>
      </c>
      <c r="C7" s="479">
        <f>landbouw!C8</f>
        <v>0</v>
      </c>
      <c r="D7" s="479">
        <f>landbouw!D8</f>
        <v>1021.9470580000001</v>
      </c>
      <c r="E7" s="479">
        <f>landbouw!E8</f>
        <v>11.463595625794715</v>
      </c>
      <c r="F7" s="479">
        <f>landbouw!F8</f>
        <v>3140.1436733210471</v>
      </c>
      <c r="G7" s="479">
        <f>landbouw!G8</f>
        <v>0</v>
      </c>
      <c r="H7" s="479">
        <f>landbouw!H8</f>
        <v>0</v>
      </c>
      <c r="I7" s="479">
        <f>landbouw!I8</f>
        <v>0</v>
      </c>
      <c r="J7" s="479">
        <f>landbouw!J8</f>
        <v>189.74494396967214</v>
      </c>
      <c r="K7" s="479">
        <f>landbouw!K8</f>
        <v>0</v>
      </c>
      <c r="L7" s="479">
        <f>landbouw!L8</f>
        <v>0</v>
      </c>
      <c r="M7" s="479">
        <f>landbouw!M8</f>
        <v>0</v>
      </c>
      <c r="N7" s="479">
        <f>landbouw!N8</f>
        <v>0</v>
      </c>
      <c r="O7" s="479">
        <f>landbouw!O8</f>
        <v>0</v>
      </c>
      <c r="P7" s="480">
        <f>landbouw!P8</f>
        <v>0</v>
      </c>
      <c r="Q7" s="478">
        <f t="shared" si="0"/>
        <v>5600.9452709165143</v>
      </c>
    </row>
    <row r="8" spans="1:17">
      <c r="A8" s="478" t="s">
        <v>650</v>
      </c>
      <c r="B8" s="479">
        <f>industrie!B18</f>
        <v>1489.8469999999998</v>
      </c>
      <c r="C8" s="479">
        <f>industrie!C18</f>
        <v>0</v>
      </c>
      <c r="D8" s="479">
        <f>industrie!D18</f>
        <v>1743.752714</v>
      </c>
      <c r="E8" s="479">
        <f>industrie!E18</f>
        <v>304.05067138202713</v>
      </c>
      <c r="F8" s="479">
        <f>industrie!F18</f>
        <v>1258.0302702554432</v>
      </c>
      <c r="G8" s="479">
        <f>industrie!G18</f>
        <v>0</v>
      </c>
      <c r="H8" s="479">
        <f>industrie!H18</f>
        <v>0</v>
      </c>
      <c r="I8" s="479">
        <f>industrie!I18</f>
        <v>0</v>
      </c>
      <c r="J8" s="479">
        <f>industrie!J18</f>
        <v>4.6030790671617625</v>
      </c>
      <c r="K8" s="479">
        <f>industrie!K18</f>
        <v>0</v>
      </c>
      <c r="L8" s="479">
        <f>industrie!L18</f>
        <v>0</v>
      </c>
      <c r="M8" s="479">
        <f>industrie!M18</f>
        <v>0</v>
      </c>
      <c r="N8" s="479">
        <f>industrie!N18</f>
        <v>457.81718828789406</v>
      </c>
      <c r="O8" s="479">
        <f>industrie!O18</f>
        <v>0</v>
      </c>
      <c r="P8" s="480">
        <f>industrie!P18</f>
        <v>0</v>
      </c>
      <c r="Q8" s="478">
        <f t="shared" si="0"/>
        <v>5258.1009229925266</v>
      </c>
    </row>
    <row r="9" spans="1:17" s="484" customFormat="1">
      <c r="A9" s="482" t="s">
        <v>571</v>
      </c>
      <c r="B9" s="483">
        <f>transport!B14</f>
        <v>8.330302694251472</v>
      </c>
      <c r="C9" s="483"/>
      <c r="D9" s="483">
        <f>transport!D14</f>
        <v>24.875985043875872</v>
      </c>
      <c r="E9" s="483">
        <f>transport!E14</f>
        <v>155.50026207220188</v>
      </c>
      <c r="F9" s="483"/>
      <c r="G9" s="483">
        <f>transport!G14</f>
        <v>41911.083923836188</v>
      </c>
      <c r="H9" s="483">
        <f>transport!H14</f>
        <v>9326.0710627935387</v>
      </c>
      <c r="I9" s="483"/>
      <c r="J9" s="483"/>
      <c r="K9" s="483"/>
      <c r="L9" s="483"/>
      <c r="M9" s="483">
        <f>transport!M14</f>
        <v>2711.4588251138157</v>
      </c>
      <c r="N9" s="483"/>
      <c r="O9" s="483"/>
      <c r="P9" s="483"/>
      <c r="Q9" s="482">
        <f>SUM(B9:P9)</f>
        <v>54137.320361553866</v>
      </c>
    </row>
    <row r="10" spans="1:17">
      <c r="A10" s="478" t="s">
        <v>561</v>
      </c>
      <c r="B10" s="479">
        <f>transport!B54</f>
        <v>0</v>
      </c>
      <c r="C10" s="479"/>
      <c r="D10" s="479">
        <f>transport!D54</f>
        <v>0</v>
      </c>
      <c r="E10" s="479"/>
      <c r="F10" s="479"/>
      <c r="G10" s="479">
        <f>transport!G54</f>
        <v>1685.2373276387168</v>
      </c>
      <c r="H10" s="479"/>
      <c r="I10" s="479"/>
      <c r="J10" s="479"/>
      <c r="K10" s="479"/>
      <c r="L10" s="479"/>
      <c r="M10" s="479">
        <f>transport!M54</f>
        <v>96.104172063041418</v>
      </c>
      <c r="N10" s="479"/>
      <c r="O10" s="479"/>
      <c r="P10" s="480"/>
      <c r="Q10" s="478">
        <f t="shared" si="0"/>
        <v>1781.3414997017583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50667.663694498748</v>
      </c>
      <c r="C14" s="489">
        <f t="shared" ref="C14:Q14" ca="1" si="1">SUM(C4:C13)</f>
        <v>0</v>
      </c>
      <c r="D14" s="489">
        <f t="shared" ca="1" si="1"/>
        <v>85747.567171043891</v>
      </c>
      <c r="E14" s="489">
        <f t="shared" si="1"/>
        <v>4480.6228753724763</v>
      </c>
      <c r="F14" s="489">
        <f t="shared" ca="1" si="1"/>
        <v>27830.968832048351</v>
      </c>
      <c r="G14" s="489">
        <f t="shared" si="1"/>
        <v>43596.321251474903</v>
      </c>
      <c r="H14" s="489">
        <f t="shared" si="1"/>
        <v>9326.0710627935387</v>
      </c>
      <c r="I14" s="489">
        <f t="shared" si="1"/>
        <v>0</v>
      </c>
      <c r="J14" s="489">
        <f t="shared" si="1"/>
        <v>194.34802303683389</v>
      </c>
      <c r="K14" s="489">
        <f t="shared" si="1"/>
        <v>0</v>
      </c>
      <c r="L14" s="489">
        <f t="shared" ca="1" si="1"/>
        <v>0</v>
      </c>
      <c r="M14" s="489">
        <f t="shared" si="1"/>
        <v>2807.5629971768572</v>
      </c>
      <c r="N14" s="489">
        <f t="shared" ca="1" si="1"/>
        <v>16457.068038739722</v>
      </c>
      <c r="O14" s="489">
        <f t="shared" si="1"/>
        <v>489.32333333333338</v>
      </c>
      <c r="P14" s="490">
        <f t="shared" si="1"/>
        <v>724.53333333333342</v>
      </c>
      <c r="Q14" s="490">
        <f t="shared" ca="1" si="1"/>
        <v>242322.05061285198</v>
      </c>
    </row>
    <row r="16" spans="1:17">
      <c r="A16" s="492" t="s">
        <v>566</v>
      </c>
      <c r="B16" s="842">
        <f ca="1">huishoudens!B10</f>
        <v>0.19146930086410466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6194.0063010860022</v>
      </c>
      <c r="C21" s="479">
        <f t="shared" ref="C21:C28" ca="1" si="3">C4*$C$16</f>
        <v>0</v>
      </c>
      <c r="D21" s="479">
        <f t="shared" ref="D21:D30" si="4">D4*$D$16</f>
        <v>13399.715805520002</v>
      </c>
      <c r="E21" s="479">
        <f t="shared" ref="E21:E30" si="5">E4*$E$16</f>
        <v>875.73998329560584</v>
      </c>
      <c r="F21" s="479">
        <f t="shared" ref="F21:F28" si="6">F4*$F$16</f>
        <v>5634.691479164333</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26104.153569065944</v>
      </c>
    </row>
    <row r="22" spans="1:17">
      <c r="A22" s="478" t="s">
        <v>156</v>
      </c>
      <c r="B22" s="479">
        <f t="shared" ca="1" si="2"/>
        <v>2765.1716885614733</v>
      </c>
      <c r="C22" s="479">
        <f t="shared" ca="1" si="3"/>
        <v>0</v>
      </c>
      <c r="D22" s="479">
        <f t="shared" ca="1" si="4"/>
        <v>3357.596460108</v>
      </c>
      <c r="E22" s="479">
        <f t="shared" si="5"/>
        <v>34.441111312781054</v>
      </c>
      <c r="F22" s="479">
        <f t="shared" ca="1" si="6"/>
        <v>621.86475605765384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6779.0740160399073</v>
      </c>
    </row>
    <row r="23" spans="1:17">
      <c r="A23" s="478" t="s">
        <v>194</v>
      </c>
      <c r="B23" s="479">
        <f t="shared" ca="1" si="2"/>
        <v>218.29797930118298</v>
      </c>
      <c r="C23" s="479"/>
      <c r="D23" s="479"/>
      <c r="E23" s="479"/>
      <c r="F23" s="479"/>
      <c r="G23" s="479"/>
      <c r="H23" s="479"/>
      <c r="I23" s="479"/>
      <c r="J23" s="479"/>
      <c r="K23" s="479"/>
      <c r="L23" s="479"/>
      <c r="M23" s="479"/>
      <c r="N23" s="479"/>
      <c r="O23" s="479"/>
      <c r="P23" s="480"/>
      <c r="Q23" s="478">
        <f t="shared" ca="1" si="17"/>
        <v>218.29797930118298</v>
      </c>
    </row>
    <row r="24" spans="1:17">
      <c r="A24" s="478" t="s">
        <v>112</v>
      </c>
      <c r="B24" s="479">
        <f t="shared" ca="1" si="2"/>
        <v>236.97121433725567</v>
      </c>
      <c r="C24" s="479">
        <f t="shared" ca="1" si="3"/>
        <v>0</v>
      </c>
      <c r="D24" s="479">
        <f t="shared" si="4"/>
        <v>206.43330571600004</v>
      </c>
      <c r="E24" s="479">
        <f t="shared" si="5"/>
        <v>2.6022362070554004</v>
      </c>
      <c r="F24" s="479">
        <f t="shared" si="6"/>
        <v>838.41836077671962</v>
      </c>
      <c r="G24" s="479">
        <f t="shared" si="7"/>
        <v>0</v>
      </c>
      <c r="H24" s="479">
        <f t="shared" si="8"/>
        <v>0</v>
      </c>
      <c r="I24" s="479">
        <f t="shared" si="9"/>
        <v>0</v>
      </c>
      <c r="J24" s="479">
        <f t="shared" si="10"/>
        <v>67.169710165263936</v>
      </c>
      <c r="K24" s="479">
        <f t="shared" si="11"/>
        <v>0</v>
      </c>
      <c r="L24" s="479">
        <f t="shared" si="12"/>
        <v>0</v>
      </c>
      <c r="M24" s="479">
        <f t="shared" si="13"/>
        <v>0</v>
      </c>
      <c r="N24" s="479">
        <f t="shared" si="14"/>
        <v>0</v>
      </c>
      <c r="O24" s="479">
        <f t="shared" si="15"/>
        <v>0</v>
      </c>
      <c r="P24" s="480">
        <f t="shared" si="16"/>
        <v>0</v>
      </c>
      <c r="Q24" s="478">
        <f t="shared" ca="1" si="17"/>
        <v>1351.5948272022947</v>
      </c>
    </row>
    <row r="25" spans="1:17">
      <c r="A25" s="478" t="s">
        <v>650</v>
      </c>
      <c r="B25" s="479">
        <f t="shared" ca="1" si="2"/>
        <v>285.25996348448371</v>
      </c>
      <c r="C25" s="479">
        <f t="shared" ca="1" si="3"/>
        <v>0</v>
      </c>
      <c r="D25" s="479">
        <f t="shared" si="4"/>
        <v>352.23804822800003</v>
      </c>
      <c r="E25" s="479">
        <f t="shared" si="5"/>
        <v>69.019502403720168</v>
      </c>
      <c r="F25" s="479">
        <f t="shared" si="6"/>
        <v>335.89408215820333</v>
      </c>
      <c r="G25" s="479">
        <f t="shared" si="7"/>
        <v>0</v>
      </c>
      <c r="H25" s="479">
        <f t="shared" si="8"/>
        <v>0</v>
      </c>
      <c r="I25" s="479">
        <f t="shared" si="9"/>
        <v>0</v>
      </c>
      <c r="J25" s="479">
        <f t="shared" si="10"/>
        <v>1.6294899897752639</v>
      </c>
      <c r="K25" s="479">
        <f t="shared" si="11"/>
        <v>0</v>
      </c>
      <c r="L25" s="479">
        <f t="shared" si="12"/>
        <v>0</v>
      </c>
      <c r="M25" s="479">
        <f t="shared" si="13"/>
        <v>0</v>
      </c>
      <c r="N25" s="479">
        <f t="shared" si="14"/>
        <v>0</v>
      </c>
      <c r="O25" s="479">
        <f t="shared" si="15"/>
        <v>0</v>
      </c>
      <c r="P25" s="480">
        <f t="shared" si="16"/>
        <v>0</v>
      </c>
      <c r="Q25" s="478">
        <f t="shared" ca="1" si="17"/>
        <v>1044.0410862641825</v>
      </c>
    </row>
    <row r="26" spans="1:17" s="484" customFormat="1">
      <c r="A26" s="482" t="s">
        <v>571</v>
      </c>
      <c r="B26" s="836">
        <f t="shared" ca="1" si="2"/>
        <v>1.5949972328546966</v>
      </c>
      <c r="C26" s="483"/>
      <c r="D26" s="483">
        <f t="shared" si="4"/>
        <v>5.024948978862926</v>
      </c>
      <c r="E26" s="483">
        <f t="shared" si="5"/>
        <v>35.298559490389827</v>
      </c>
      <c r="F26" s="483"/>
      <c r="G26" s="483">
        <f t="shared" si="7"/>
        <v>11190.259407664264</v>
      </c>
      <c r="H26" s="483">
        <f t="shared" si="8"/>
        <v>2322.1916946355909</v>
      </c>
      <c r="I26" s="483"/>
      <c r="J26" s="483"/>
      <c r="K26" s="483"/>
      <c r="L26" s="483"/>
      <c r="M26" s="483">
        <f t="shared" si="13"/>
        <v>0</v>
      </c>
      <c r="N26" s="483"/>
      <c r="O26" s="483"/>
      <c r="P26" s="494"/>
      <c r="Q26" s="482">
        <f t="shared" ca="1" si="17"/>
        <v>13554.369608001962</v>
      </c>
    </row>
    <row r="27" spans="1:17">
      <c r="A27" s="478" t="s">
        <v>561</v>
      </c>
      <c r="B27" s="479">
        <f t="shared" ca="1" si="2"/>
        <v>0</v>
      </c>
      <c r="C27" s="479"/>
      <c r="D27" s="483">
        <f t="shared" si="4"/>
        <v>0</v>
      </c>
      <c r="E27" s="479"/>
      <c r="F27" s="479"/>
      <c r="G27" s="479">
        <f t="shared" si="7"/>
        <v>449.9583664795374</v>
      </c>
      <c r="H27" s="479"/>
      <c r="I27" s="479"/>
      <c r="J27" s="479"/>
      <c r="K27" s="479"/>
      <c r="L27" s="479"/>
      <c r="M27" s="479">
        <f t="shared" si="13"/>
        <v>0</v>
      </c>
      <c r="N27" s="479"/>
      <c r="O27" s="479"/>
      <c r="P27" s="480"/>
      <c r="Q27" s="478">
        <f t="shared" ca="1" si="17"/>
        <v>449.9583664795374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9701.3021440032553</v>
      </c>
      <c r="C31" s="489">
        <f t="shared" ca="1" si="18"/>
        <v>0</v>
      </c>
      <c r="D31" s="489">
        <f t="shared" ca="1" si="18"/>
        <v>17321.008568550864</v>
      </c>
      <c r="E31" s="489">
        <f t="shared" si="18"/>
        <v>1017.1013927095522</v>
      </c>
      <c r="F31" s="489">
        <f t="shared" ca="1" si="18"/>
        <v>7430.8686781569104</v>
      </c>
      <c r="G31" s="489">
        <f t="shared" si="18"/>
        <v>11640.217774143801</v>
      </c>
      <c r="H31" s="489">
        <f t="shared" si="18"/>
        <v>2322.1916946355909</v>
      </c>
      <c r="I31" s="489">
        <f t="shared" si="18"/>
        <v>0</v>
      </c>
      <c r="J31" s="489">
        <f t="shared" si="18"/>
        <v>68.799200155039202</v>
      </c>
      <c r="K31" s="489">
        <f t="shared" si="18"/>
        <v>0</v>
      </c>
      <c r="L31" s="489">
        <f t="shared" ca="1" si="18"/>
        <v>0</v>
      </c>
      <c r="M31" s="489">
        <f t="shared" si="18"/>
        <v>0</v>
      </c>
      <c r="N31" s="489">
        <f t="shared" ca="1" si="18"/>
        <v>0</v>
      </c>
      <c r="O31" s="489">
        <f t="shared" si="18"/>
        <v>0</v>
      </c>
      <c r="P31" s="490">
        <f t="shared" si="18"/>
        <v>0</v>
      </c>
      <c r="Q31" s="490">
        <f t="shared" ca="1" si="18"/>
        <v>49501.489452355003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0.19146930086410466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0.19146930086410466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0.19146930086410466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2019-01-01T21:34:33Z</dcterms:modified>
</cp:coreProperties>
</file>