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B22" i="6"/>
  <c r="C20" i="16" s="1"/>
  <c r="C22" s="1"/>
  <c r="D39" i="14" s="1"/>
  <c r="J67"/>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Q5" i="48"/>
  <c r="O13" i="14"/>
  <c r="O15" s="1"/>
  <c r="N22" i="16"/>
  <c r="O39" i="14" s="1"/>
  <c r="O41" s="1"/>
  <c r="F8" i="48"/>
  <c r="Q4"/>
  <c r="N22"/>
  <c r="R11" i="14"/>
  <c r="J21" i="48"/>
  <c r="C10" i="17" l="1"/>
  <c r="C12" s="1"/>
  <c r="D48" i="14" s="1"/>
  <c r="C16" i="22"/>
  <c r="N55" i="14"/>
  <c r="C17" i="49"/>
  <c r="C56" i="22"/>
  <c r="C58" s="1"/>
  <c r="D44" i="14" s="1"/>
  <c r="D46" s="1"/>
  <c r="C10" i="13"/>
  <c r="C16" i="48" s="1"/>
  <c r="C24" s="1"/>
  <c r="K13" i="14"/>
  <c r="F22" i="16"/>
  <c r="G39" i="14" s="1"/>
  <c r="G41" s="1"/>
  <c r="G53" s="1"/>
  <c r="G55" s="1"/>
  <c r="O69" s="1"/>
  <c r="B9" i="6" s="1"/>
  <c r="B12" s="1"/>
  <c r="C18" i="15"/>
  <c r="C20" s="1"/>
  <c r="D36" i="14" s="1"/>
  <c r="N25" i="48"/>
  <c r="N31" s="1"/>
  <c r="N14"/>
  <c r="K41" i="14"/>
  <c r="K53" s="1"/>
  <c r="K55" s="1"/>
  <c r="E14" i="48"/>
  <c r="K15" i="14"/>
  <c r="K23" s="1"/>
  <c r="H55"/>
  <c r="E55"/>
  <c r="C78"/>
  <c r="C81" s="1"/>
  <c r="J14" i="48"/>
  <c r="J31"/>
  <c r="Q8"/>
  <c r="Q14" s="1"/>
  <c r="R19" i="14"/>
  <c r="R20" s="1"/>
  <c r="H14" i="48"/>
  <c r="G31"/>
  <c r="H26"/>
  <c r="H31" s="1"/>
  <c r="F55" i="14"/>
  <c r="O53"/>
  <c r="M53"/>
  <c r="M55" s="1"/>
  <c r="C12" i="13"/>
  <c r="D37" i="14" s="1"/>
  <c r="C28" i="4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<sst xmlns="http://schemas.openxmlformats.org/spreadsheetml/2006/main" count="2146" uniqueCount="877">
  <si>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</si>
  <si>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</si>
  <si>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</si>
  <si>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</si>
  <si>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</si>
  <si>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</si>
  <si>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</si>
  <si>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</si>
  <si>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</si>
  <si>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</si>
  <si>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</si>
  <si>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</si>
  <si>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</si>
  <si>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</si>
  <si>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</si>
  <si>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</si>
  <si>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</si>
  <si>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</si>
  <si>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</si>
  <si>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</si>
  <si>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</si>
  <si>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</si>
  <si>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</si>
  <si>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</si>
  <si>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</si>
  <si>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</si>
  <si>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</si>
  <si>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</si>
  <si>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</si>
  <si>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</si>
  <si>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</si>
  <si>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</si>
  <si>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</si>
  <si>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</si>
  <si>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</si>
  <si>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</si>
  <si>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</si>
  <si>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</si>
  <si>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</si>
  <si>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</si>
  <si>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</si>
  <si>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</si>
  <si>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</si>
  <si>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</si>
  <si>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</si>
  <si>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</si>
  <si>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</si>
  <si>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</si>
  <si>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</si>
  <si>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</si>
  <si>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</si>
  <si>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</si>
  <si>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</si>
  <si>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</si>
  <si>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</si>
  <si>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</si>
  <si>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</si>
  <si>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</si>
  <si>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</si>
  <si>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</si>
  <si>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</si>
  <si>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</si>
  <si>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</si>
  <si>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</si>
  <si>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</si>
  <si>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</si>
  <si>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</si>
  <si>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</si>
  <si>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</si>
  <si>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</si>
  <si>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</si>
  <si>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</si>
  <si>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</si>
  <si>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</si>
  <si>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</si>
  <si>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</si>
  <si>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</si>
  <si>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</si>
  <si>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</si>
  <si>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</si>
  <si>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</si>
  <si>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</si>
  <si>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</si>
  <si>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</si>
  <si>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</si>
  <si>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</si>
  <si>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</si>
  <si>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</si>
  <si>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</si>
  <si>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</si>
  <si>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</si>
  <si>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</si>
  <si>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</si>
  <si>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</si>
  <si>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</si>
  <si>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</si>
  <si>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</si>
  <si>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</si>
  <si>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</si>
  <si>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</si>
  <si>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</si>
  <si>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</si>
  <si>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</si>
  <si>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</si>
  <si>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</si>
  <si>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</si>
  <si>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</si>
  <si>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</si>
  <si>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</si>
  <si>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</si>
  <si>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</si>
  <si>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</si>
  <si>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</si>
  <si>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</si>
  <si>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</si>
  <si>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</si>
  <si>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</si>
  <si>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</si>
  <si>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</si>
  <si>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</si>
  <si>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</si>
  <si>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</si>
  <si>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</si>
  <si>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</si>
  <si>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</si>
  <si>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</si>
  <si>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</si>
  <si>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</si>
  <si>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</si>
  <si>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</si>
  <si>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</si>
  <si>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</si>
  <si>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</si>
  <si>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</si>
  <si>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</si>
  <si>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</si>
  <si>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</si>
  <si>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</si>
  <si>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</si>
  <si>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</si>
  <si>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</si>
  <si>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</si>
  <si>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</si>
  <si>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</si>
  <si>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</si>
  <si>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</si>
  <si>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</si>
  <si>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</si>
  <si>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</si>
  <si>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</si>
  <si>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</si>
  <si>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</si>
  <si>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</si>
  <si>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</si>
  <si>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</si>
  <si>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</si>
  <si>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</si>
  <si>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</si>
  <si>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</si>
  <si>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</si>
  <si>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</si>
  <si>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</si>
  <si>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</si>
  <si>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</si>
  <si>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</si>
  <si>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</si>
  <si>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</si>
  <si>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</si>
  <si>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</si>
  <si>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</si>
  <si>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</si>
  <si>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</si>
  <si>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</si>
  <si>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</si>
  <si>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</si>
  <si>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</si>
  <si>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</si>
  <si>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</si>
  <si>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</si>
  <si>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</si>
  <si>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</si>
  <si>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</si>
  <si>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</si>
  <si>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</si>
  <si>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</si>
  <si>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</si>
  <si>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</si>
  <si>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</si>
  <si>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</si>
  <si>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</si>
  <si>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</si>
  <si>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</si>
  <si>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</si>
  <si>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</si>
  <si>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</si>
  <si>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</si>
  <si>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</si>
  <si>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</si>
  <si>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</si>
  <si>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</si>
  <si>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</si>
  <si>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</si>
  <si>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</si>
  <si>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</si>
  <si>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</si>
  <si>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</si>
  <si>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</si>
  <si>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</si>
  <si>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</si>
  <si>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</si>
  <si>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</si>
  <si>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</si>
  <si>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</si>
  <si>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</si>
  <si>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</si>
  <si>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</si>
  <si>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</si>
  <si>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</si>
  <si>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</si>
  <si>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</si>
  <si>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</si>
  <si>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</si>
  <si>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</si>
  <si>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</si>
  <si>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</si>
  <si>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</si>
  <si>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</si>
  <si>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</si>
  <si>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</si>
  <si>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</si>
  <si>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</si>
  <si>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</si>
  <si>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</si>
  <si>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</si>
  <si>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</si>
  <si>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</si>
  <si>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</si>
  <si>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</si>
  <si>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</si>
  <si>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</si>
  <si>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</si>
  <si>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</si>
  <si>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</si>
  <si>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</si>
  <si>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</si>
  <si>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</si>
  <si>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</si>
  <si>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</si>
  <si>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</si>
  <si>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</si>
  <si>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</si>
  <si>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</si>
  <si>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</si>
  <si>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</si>
  <si>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</si>
  <si>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</si>
  <si>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</si>
  <si>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</si>
  <si>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</si>
  <si>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</si>
  <si>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</si>
  <si>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</si>
  <si>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</si>
  <si>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</si>
  <si>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</si>
  <si>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</si>
  <si>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</si>
  <si>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</si>
  <si>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</si>
  <si>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</si>
  <si>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</si>
  <si>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</si>
  <si>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</si>
  <si>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</si>
  <si>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</si>
  <si>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</si>
  <si>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</si>
  <si>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</si>
  <si>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</si>
  <si>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</si>
  <si>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</si>
  <si>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</si>
  <si>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</si>
  <si>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</si>
  <si>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</si>
  <si>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</si>
  <si>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</si>
  <si>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</si>
  <si>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</si>
  <si>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</si>
  <si>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</si>
  <si>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</si>
  <si>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</si>
  <si>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</si>
  <si>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</si>
  <si>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</si>
  <si>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</si>
  <si>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</si>
  <si>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</si>
  <si>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</si>
  <si>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</si>
  <si>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</si>
  <si>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</si>
  <si>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</si>
  <si>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</si>
  <si>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</si>
  <si>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</si>
  <si>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</si>
  <si>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</si>
  <si>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</si>
  <si>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</si>
  <si>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</si>
  <si>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</si>
  <si>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</si>
  <si>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</si>
  <si>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</si>
  <si>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</si>
  <si>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</si>
  <si>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</si>
  <si>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</si>
  <si>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</si>
  <si>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</si>
  <si>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</si>
  <si>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</si>
  <si>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</si>
  <si>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</si>
  <si>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</si>
  <si>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</si>
  <si>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</si>
  <si>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</si>
  <si>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</si>
  <si>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</si>
  <si>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</si>
  <si>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</si>
  <si>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</si>
  <si>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</si>
  <si>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</si>
  <si>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</si>
  <si>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</si>
  <si>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</si>
  <si>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</si>
  <si>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</si>
  <si>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</si>
  <si>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</si>
  <si>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</si>
  <si>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</si>
  <si>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</si>
  <si>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</si>
  <si>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</si>
  <si>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</si>
  <si>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</si>
  <si>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</si>
  <si>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</si>
  <si>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</si>
  <si>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</si>
  <si>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</si>
  <si>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</si>
  <si>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</si>
  <si>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</si>
  <si>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</si>
  <si>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</si>
  <si>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</si>
  <si>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</si>
  <si>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</si>
  <si>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</si>
  <si>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</si>
  <si>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</si>
  <si>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</si>
  <si>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</si>
  <si>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</si>
  <si>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</si>
  <si>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</si>
  <si>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</si>
  <si>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</si>
  <si>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</si>
  <si>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</si>
  <si>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</si>
  <si>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</si>
  <si>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</si>
  <si>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</si>
  <si>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</si>
  <si>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</si>
  <si>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</si>
  <si>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</si>
  <si>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</si>
  <si>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</si>
  <si>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</si>
  <si>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</si>
  <si>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</si>
  <si>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</si>
  <si>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</si>
  <si>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</si>
  <si>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</si>
  <si>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</si>
  <si>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</si>
  <si>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</si>
  <si>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</si>
  <si>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</si>
  <si>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</si>
  <si>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</si>
  <si>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</si>
  <si>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</si>
  <si>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</si>
  <si>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</si>
  <si>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</si>
  <si>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</si>
  <si>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</si>
  <si>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</si>
  <si>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</si>
  <si>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</si>
  <si>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</si>
  <si>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</si>
  <si>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</si>
  <si>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</si>
  <si>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</si>
  <si>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</si>
  <si>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</si>
  <si>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</si>
  <si>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</si>
  <si>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</si>
  <si>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</si>
  <si>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</si>
  <si>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</si>
  <si>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</si>
  <si>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</si>
  <si>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</si>
  <si>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</si>
  <si>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</si>
  <si>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</si>
  <si>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</si>
  <si>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</si>
  <si>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</si>
  <si>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</si>
  <si>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</si>
  <si>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</si>
  <si>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</si>
  <si>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</si>
  <si>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</si>
  <si>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</si>
  <si>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</si>
  <si>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</si>
  <si>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</si>
  <si>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</si>
  <si>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</si>
  <si>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</si>
  <si>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</si>
  <si>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</si>
  <si>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</si>
  <si>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</si>
  <si>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</si>
  <si>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</si>
  <si>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</si>
  <si>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</si>
  <si>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</si>
  <si>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</si>
  <si>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</si>
  <si>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</si>
  <si>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</si>
  <si>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</si>
  <si>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</si>
  <si>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</si>
  <si>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</si>
  <si>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</si>
  <si>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</si>
  <si>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</si>
  <si>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</si>
  <si>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</si>
  <si>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</si>
  <si>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</si>
  <si>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</si>
  <si>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</si>
  <si>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</si>
  <si>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</si>
  <si>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</si>
  <si>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</si>
  <si>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</si>
  <si>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</si>
  <si>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</si>
  <si>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</si>
  <si>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</si>
  <si>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</si>
  <si>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</si>
  <si>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</si>
  <si>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</si>
  <si>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</si>
  <si>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</si>
  <si>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</si>
  <si>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</si>
  <si>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</si>
  <si>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</si>
  <si>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</si>
  <si>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</si>
  <si>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</si>
  <si>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</si>
  <si>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</si>
  <si>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</si>
  <si>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</si>
  <si>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</si>
  <si>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</si>
  <si>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</si>
  <si>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</si>
  <si>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</si>
  <si>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</si>
  <si>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</si>
  <si>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</si>
  <si>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</si>
  <si>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</si>
  <si>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</si>
  <si>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</si>
  <si>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</si>
  <si>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</si>
  <si>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</si>
  <si>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</si>
  <si>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</si>
  <si>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</si>
  <si>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</si>
  <si>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</si>
  <si>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</si>
  <si>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</si>
  <si>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</si>
  <si>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</si>
  <si>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</si>
  <si>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</si>
  <si>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</si>
  <si>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</si>
  <si>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</si>
  <si>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</si>
  <si>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</si>
  <si>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</si>
  <si>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</si>
  <si>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</si>
  <si>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</si>
  <si>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</si>
  <si>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</si>
  <si>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</si>
  <si>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</si>
  <si>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</si>
  <si>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</si>
  <si>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</si>
  <si>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</si>
  <si>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</si>
  <si>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</si>
  <si>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</si>
  <si>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</si>
  <si>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</si>
  <si>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</si>
  <si>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</si>
  <si>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</si>
  <si>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</si>
  <si>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</si>
  <si>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</si>
  <si>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</si>
  <si>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</si>
  <si>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</si>
  <si>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</si>
  <si>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</si>
  <si>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</si>
  <si>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</si>
  <si>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</si>
  <si>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</si>
  <si>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</si>
  <si>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</si>
  <si>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</si>
  <si>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</si>
  <si>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</si>
  <si>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</si>
  <si>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</si>
  <si>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</si>
  <si>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</si>
  <si>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</si>
  <si>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</si>
  <si>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</si>
  <si>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</si>
  <si>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</si>
  <si>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</si>
  <si>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</si>
  <si>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</si>
  <si>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</si>
  <si>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</si>
  <si>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</si>
  <si>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</si>
  <si>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</si>
  <si>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</si>
  <si>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</si>
  <si>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</si>
  <si>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</si>
  <si>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</si>
  <si>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</si>
  <si>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</si>
  <si>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</si>
  <si>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</si>
  <si>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</si>
  <si>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</si>
  <si>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</si>
  <si>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</si>
  <si>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</si>
  <si>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</si>
  <si>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</si>
  <si>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</si>
  <si>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</si>
  <si>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</si>
  <si>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</si>
  <si>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</si>
  <si>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</si>
  <si>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</si>
  <si>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</si>
  <si>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</si>
  <si>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</si>
  <si>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</si>
  <si>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</si>
  <si>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</si>
  <si>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</si>
  <si>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</si>
  <si>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</si>
  <si>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</si>
  <si>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</si>
  <si>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</si>
  <si>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</si>
  <si>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</si>
  <si>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</si>
  <si>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</si>
  <si>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</si>
  <si>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</si>
  <si>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</si>
  <si>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</si>
  <si>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</si>
  <si>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</si>
  <si>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</si>
  <si>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</si>
  <si>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</si>
  <si>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</si>
  <si>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</si>
  <si>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</si>
  <si>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</si>
  <si>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</si>
  <si>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</si>
  <si>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</si>
  <si>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</si>
  <si>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</si>
  <si>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</si>
  <si>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</si>
  <si>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</si>
  <si>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</si>
  <si>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</si>
  <si>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</si>
  <si>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</si>
  <si>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</si>
  <si>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</si>
  <si>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</si>
  <si>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</si>
  <si>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</si>
  <si>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</si>
  <si>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</si>
  <si>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</si>
  <si>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</si>
  <si>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</si>
  <si>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</si>
  <si>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</si>
  <si>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</si>
  <si>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</si>
  <si>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</si>
  <si>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</si>
  <si>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</si>
  <si>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</si>
  <si>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</si>
  <si>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</si>
  <si>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</si>
  <si>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</si>
  <si>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</si>
  <si>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</si>
  <si>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</si>
  <si>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</si>
  <si>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</si>
  <si>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</si>
  <si>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</si>
  <si>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</si>
  <si>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</si>
  <si>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</si>
  <si>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</si>
  <si>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</si>
  <si>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</si>
  <si>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</si>
  <si>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</si>
  <si>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</si>
  <si>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</si>
  <si>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</si>
  <si>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</si>
  <si>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</si>
  <si>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</si>
  <si>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</si>
  <si>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</si>
  <si>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</si>
  <si>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</si>
  <si>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</si>
  <si>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</si>
  <si>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</si>
  <si>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</si>
  <si>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</si>
  <si>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</si>
  <si>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</si>
  <si>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</si>
  <si>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</si>
  <si>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</si>
  <si>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</si>
  <si>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</si>
  <si>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</si>
  <si>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</si>
  <si>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</si>
  <si>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</si>
  <si>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</si>
  <si>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</si>
  <si>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</si>
  <si>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</si>
  <si>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</si>
  <si>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</si>
  <si>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</si>
  <si>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</si>
  <si>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</si>
  <si>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</si>
  <si>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</si>
  <si>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</si>
  <si>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</si>
  <si>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</si>
  <si>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</si>
  <si>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</si>
  <si>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</si>
  <si>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</si>
  <si>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</si>
  <si>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</si>
  <si>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</si>
  <si>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</si>
  <si>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</si>
  <si>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</si>
  <si>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</si>
  <si>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</si>
  <si>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</si>
  <si>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</si>
  <si>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</si>
  <si>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</si>
  <si>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</si>
  <si>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</si>
  <si>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</si>
  <si>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</si>
  <si>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</si>
  <si>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</si>
  <si>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</si>
  <si>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</si>
  <si>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</si>
  <si>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</si>
  <si>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</si>
  <si>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</si>
  <si>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</si>
  <si>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</si>
  <si>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</si>
  <si>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</si>
  <si>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</si>
  <si>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</si>
  <si>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</si>
  <si>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</si>
  <si>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</si>
  <si>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</si>
  <si>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</si>
  <si>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</si>
  <si>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</si>
  <si>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</si>
  <si>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</si>
  <si>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</si>
  <si>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</si>
  <si>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</si>
  <si>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</si>
  <si>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</si>
  <si>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</si>
  <si>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</si>
  <si>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</si>
  <si>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</si>
  <si>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</si>
  <si>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</si>
  <si>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</si>
  <si>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</si>
  <si>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</si>
  <si>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</si>
  <si>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</si>
  <si>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</si>
  <si>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</si>
  <si>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</si>
  <si>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</si>
  <si>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</si>
  <si>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</si>
  <si>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</si>
  <si>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</si>
  <si>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</si>
  <si>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</si>
  <si>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</si>
  <si>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</si>
  <si>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</si>
  <si>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</si>
  <si>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</si>
  <si>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</si>
  <si>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</si>
  <si>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</si>
  <si>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</si>
  <si>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</si>
  <si>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</si>
  <si>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</si>
  <si>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</si>
  <si>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</si>
  <si>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</si>
  <si>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</si>
  <si>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</si>
  <si>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</si>
  <si>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</si>
  <si>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</si>
  <si>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</si>
  <si>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</si>
  <si>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</si>
  <si>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</si>
  <si>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</si>
  <si>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</si>
  <si>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</si>
  <si>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</si>
  <si>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</si>
  <si>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</si>
  <si>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</si>
  <si>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</si>
  <si>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</si>
  <si>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</si>
  <si>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</si>
  <si>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</si>
  <si>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</si>
  <si>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</si>
  <si>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</si>
  <si>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</si>
  <si>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</si>
  <si>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</si>
  <si>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</si>
  <si>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</si>
  <si>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</si>
  <si>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</si>
  <si>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</si>
  <si>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</si>
  <si>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</si>
  <si>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</si>
  <si>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</si>
  <si>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</si>
  <si>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</si>
  <si>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</si>
  <si>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</si>
  <si>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</si>
  <si>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</si>
  <si>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</si>
  <si>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</si>
  <si>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</si>
  <si>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</si>
  <si>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</si>
  <si>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</si>
  <si>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</si>
  <si>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</si>
  <si>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</si>
  <si>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</si>
  <si>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</si>
  <si>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</si>
  <si>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</si>
  <si>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</si>
  <si>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72018</t>
  </si>
  <si>
    <t>KINROOI</t>
  </si>
  <si>
    <t>Paarden&amp;pony's 200 - 600 kg</t>
  </si>
  <si>
    <t>Paarden&amp;pony's &lt; 200 kg</t>
  </si>
  <si>
    <t>referentietaak LNE (2017); Jaarverslag De Lijn (2014)</t>
  </si>
  <si>
    <t>op basis van VEA (maart 2018) en Inventaris Hernieuwbare Energiebronnen (juni 2018)</t>
  </si>
  <si>
    <t>VEA (maart 2016)</t>
  </si>
  <si>
    <t>VEA (juni 2018)</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</si>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</sst>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116354.02863464074</c:v>
                </c:pt>
                <c:pt idx="1">
                  <c:v>15221.194373846563</c:v>
                </c:pt>
                <c:pt idx="2">
                  <c:v>621.48500000000001</c:v>
                </c:pt>
                <c:pt idx="3">
                  <c:v>17000.696630501923</c:v>
                </c:pt>
                <c:pt idx="4">
                  <c:v>9962.7250302453904</c:v>
                </c:pt>
                <c:pt idx="5">
                  <c:v>54932.19880288493</c:v>
                </c:pt>
                <c:pt idx="6">
                  <c:v>479.93377802883589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5792"/>
      </c:barChart>
      <c:catAx>
        <c:axId val="165744000"/>
        <c:scaling>
          <c:orientation val="minMax"/>
        </c:scaling>
        <c:axPos val="b"/>
        <c:numFmt formatCode="General" sourceLinked="0"/>
        <c:tickLblPos val="nextTo"/>
        <c:crossAx val="165745792"/>
        <c:crosses val="autoZero"/>
        <c:auto val="1"/>
        <c:lblAlgn val="ctr"/>
        <c:lblOffset val="100"/>
      </c:catAx>
      <c:valAx>
        <c:axId val="165745792"/>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116354.02863464074</c:v>
                </c:pt>
                <c:pt idx="1">
                  <c:v>15221.194373846563</c:v>
                </c:pt>
                <c:pt idx="2">
                  <c:v>621.48500000000001</c:v>
                </c:pt>
                <c:pt idx="3">
                  <c:v>17000.696630501923</c:v>
                </c:pt>
                <c:pt idx="4">
                  <c:v>9962.7250302453904</c:v>
                </c:pt>
                <c:pt idx="5">
                  <c:v>54932.19880288493</c:v>
                </c:pt>
                <c:pt idx="6">
                  <c:v>479.93377802883589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24382.2349185442</c:v>
                </c:pt>
                <c:pt idx="1">
                  <c:v>2714.3390893416663</c:v>
                </c:pt>
                <c:pt idx="2">
                  <c:v>107.24413714008561</c:v>
                </c:pt>
                <c:pt idx="3">
                  <c:v>3985.7154874584371</c:v>
                </c:pt>
                <c:pt idx="4">
                  <c:v>1896.5932082548529</c:v>
                </c:pt>
                <c:pt idx="5">
                  <c:v>13760.670451949827</c:v>
                </c:pt>
                <c:pt idx="6">
                  <c:v>121.22898322211853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95328"/>
      </c:barChart>
      <c:catAx>
        <c:axId val="180119808"/>
        <c:scaling>
          <c:orientation val="minMax"/>
        </c:scaling>
        <c:axPos val="b"/>
        <c:numFmt formatCode="General" sourceLinked="0"/>
        <c:tickLblPos val="nextTo"/>
        <c:crossAx val="180195328"/>
        <c:crosses val="autoZero"/>
        <c:auto val="1"/>
        <c:lblAlgn val="ctr"/>
        <c:lblOffset val="100"/>
      </c:catAx>
      <c:valAx>
        <c:axId val="180195328"/>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24382.2349185442</c:v>
                </c:pt>
                <c:pt idx="1">
                  <c:v>2714.3390893416663</c:v>
                </c:pt>
                <c:pt idx="2">
                  <c:v>107.24413714008561</c:v>
                </c:pt>
                <c:pt idx="3">
                  <c:v>3985.7154874584371</c:v>
                </c:pt>
                <c:pt idx="4">
                  <c:v>1896.5932082548529</c:v>
                </c:pt>
                <c:pt idx="5">
                  <c:v>13760.670451949827</c:v>
                </c:pt>
                <c:pt idx="6">
                  <c:v>121.22898322211853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72018</v>
      </c>
      <c r="B6" s="416"/>
      <c r="C6" s="417"/>
    </row>
    <row r="7" spans="1:7" s="414" customFormat="1" ht="15.75" customHeight="1">
      <c r="A7" s="418" t="str">
        <f>txtMunicipality</f>
        <v>KINROOI</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9031.6920000000009</v>
      </c>
      <c r="D10" s="719">
        <f ca="1">tertiair!C16</f>
        <v>0</v>
      </c>
      <c r="E10" s="719">
        <f ca="1">tertiair!D16</f>
        <v>4441.6256940000003</v>
      </c>
      <c r="F10" s="719">
        <f>tertiair!E16</f>
        <v>93.474564602914754</v>
      </c>
      <c r="G10" s="719">
        <f ca="1">tertiair!F16</f>
        <v>1290.7766892897157</v>
      </c>
      <c r="H10" s="719">
        <f>tertiair!G16</f>
        <v>0</v>
      </c>
      <c r="I10" s="719">
        <f>tertiair!H16</f>
        <v>0</v>
      </c>
      <c r="J10" s="719">
        <f>tertiair!I16</f>
        <v>0</v>
      </c>
      <c r="K10" s="719">
        <f>tertiair!J16</f>
        <v>0</v>
      </c>
      <c r="L10" s="719">
        <f>tertiair!K16</f>
        <v>0</v>
      </c>
      <c r="M10" s="719">
        <f ca="1">tertiair!L16</f>
        <v>0</v>
      </c>
      <c r="N10" s="719">
        <f>tertiair!M16</f>
        <v>0</v>
      </c>
      <c r="O10" s="719">
        <f ca="1">tertiair!N16</f>
        <v>962.91709262059749</v>
      </c>
      <c r="P10" s="719">
        <f>tertiair!O16</f>
        <v>3.1266666666666669</v>
      </c>
      <c r="Q10" s="720">
        <f>tertiair!P16</f>
        <v>19.066666666666666</v>
      </c>
      <c r="R10" s="722">
        <f ca="1">SUM(C10:Q10)</f>
        <v>15842.679373846564</v>
      </c>
      <c r="S10" s="67"/>
    </row>
    <row r="11" spans="1:19" s="475" customFormat="1">
      <c r="A11" s="871" t="s">
        <v>225</v>
      </c>
      <c r="B11" s="876"/>
      <c r="C11" s="719">
        <f>huishoudens!B8</f>
        <v>22788.012379379157</v>
      </c>
      <c r="D11" s="719">
        <f>huishoudens!C8</f>
        <v>0</v>
      </c>
      <c r="E11" s="719">
        <f>huishoudens!D8</f>
        <v>25806.929874000001</v>
      </c>
      <c r="F11" s="719">
        <f>huishoudens!E8</f>
        <v>3846.461098983898</v>
      </c>
      <c r="G11" s="719">
        <f>huishoudens!F8</f>
        <v>53796.868395575759</v>
      </c>
      <c r="H11" s="719">
        <f>huishoudens!G8</f>
        <v>0</v>
      </c>
      <c r="I11" s="719">
        <f>huishoudens!H8</f>
        <v>0</v>
      </c>
      <c r="J11" s="719">
        <f>huishoudens!I8</f>
        <v>0</v>
      </c>
      <c r="K11" s="719">
        <f>huishoudens!J8</f>
        <v>0</v>
      </c>
      <c r="L11" s="719">
        <f>huishoudens!K8</f>
        <v>0</v>
      </c>
      <c r="M11" s="719">
        <f>huishoudens!L8</f>
        <v>0</v>
      </c>
      <c r="N11" s="719">
        <f>huishoudens!M8</f>
        <v>0</v>
      </c>
      <c r="O11" s="719">
        <f>huishoudens!N8</f>
        <v>9301.7168867019063</v>
      </c>
      <c r="P11" s="719">
        <f>huishoudens!O8</f>
        <v>356.44</v>
      </c>
      <c r="Q11" s="720">
        <f>huishoudens!P8</f>
        <v>457.6</v>
      </c>
      <c r="R11" s="722">
        <f>SUM(C11:Q11)</f>
        <v>116354.02863464074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4321.2379999999994</v>
      </c>
      <c r="D13" s="719">
        <f>industrie!C18</f>
        <v>0</v>
      </c>
      <c r="E13" s="719">
        <f>industrie!D18</f>
        <v>3300.2114420000003</v>
      </c>
      <c r="F13" s="719">
        <f>industrie!E18</f>
        <v>335.67968210776183</v>
      </c>
      <c r="G13" s="719">
        <f>industrie!F18</f>
        <v>1517.8439389378682</v>
      </c>
      <c r="H13" s="719">
        <f>industrie!G18</f>
        <v>0</v>
      </c>
      <c r="I13" s="719">
        <f>industrie!H18</f>
        <v>0</v>
      </c>
      <c r="J13" s="719">
        <f>industrie!I18</f>
        <v>0</v>
      </c>
      <c r="K13" s="719">
        <f>industrie!J18</f>
        <v>7.93582355233975</v>
      </c>
      <c r="L13" s="719">
        <f>industrie!K18</f>
        <v>0</v>
      </c>
      <c r="M13" s="719">
        <f>industrie!L18</f>
        <v>0</v>
      </c>
      <c r="N13" s="719">
        <f>industrie!M18</f>
        <v>0</v>
      </c>
      <c r="O13" s="719">
        <f>industrie!N18</f>
        <v>479.81614364742188</v>
      </c>
      <c r="P13" s="719">
        <f>industrie!O18</f>
        <v>0</v>
      </c>
      <c r="Q13" s="720">
        <f>industrie!P18</f>
        <v>0</v>
      </c>
      <c r="R13" s="722">
        <f>SUM(C13:Q13)</f>
        <v>9962.7250302453904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36140.942379379158</v>
      </c>
      <c r="D15" s="724">
        <f t="shared" ref="D15:Q15" ca="1" si="0">SUM(D9:D14)</f>
        <v>0</v>
      </c>
      <c r="E15" s="724">
        <f t="shared" ca="1" si="0"/>
        <v>33548.767010000003</v>
      </c>
      <c r="F15" s="724">
        <f t="shared" si="0"/>
        <v>4275.615345694574</v>
      </c>
      <c r="G15" s="724">
        <f t="shared" ca="1" si="0"/>
        <v>56605.48902380334</v>
      </c>
      <c r="H15" s="724">
        <f t="shared" si="0"/>
        <v>0</v>
      </c>
      <c r="I15" s="724">
        <f t="shared" si="0"/>
        <v>0</v>
      </c>
      <c r="J15" s="724">
        <f t="shared" si="0"/>
        <v>0</v>
      </c>
      <c r="K15" s="724">
        <f t="shared" si="0"/>
        <v>7.93582355233975</v>
      </c>
      <c r="L15" s="724">
        <f t="shared" si="0"/>
        <v>0</v>
      </c>
      <c r="M15" s="724">
        <f t="shared" ca="1" si="0"/>
        <v>0</v>
      </c>
      <c r="N15" s="724">
        <f t="shared" si="0"/>
        <v>0</v>
      </c>
      <c r="O15" s="724">
        <f t="shared" ca="1" si="0"/>
        <v>10744.450122969925</v>
      </c>
      <c r="P15" s="724">
        <f t="shared" si="0"/>
        <v>359.56666666666666</v>
      </c>
      <c r="Q15" s="725">
        <f t="shared" si="0"/>
        <v>476.66666666666669</v>
      </c>
      <c r="R15" s="726">
        <f ca="1">SUM(R9:R14)</f>
        <v>142159.43303873268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454.04113566336525</v>
      </c>
      <c r="I18" s="719">
        <f>transport!H54</f>
        <v>0</v>
      </c>
      <c r="J18" s="719">
        <f>transport!I54</f>
        <v>0</v>
      </c>
      <c r="K18" s="719">
        <f>transport!J54</f>
        <v>0</v>
      </c>
      <c r="L18" s="719">
        <f>transport!K54</f>
        <v>0</v>
      </c>
      <c r="M18" s="719">
        <f>transport!L54</f>
        <v>0</v>
      </c>
      <c r="N18" s="719">
        <f>transport!M54</f>
        <v>25.89264236547065</v>
      </c>
      <c r="O18" s="719">
        <f>transport!N54</f>
        <v>0</v>
      </c>
      <c r="P18" s="719">
        <f>transport!O54</f>
        <v>0</v>
      </c>
      <c r="Q18" s="720">
        <f>transport!P54</f>
        <v>0</v>
      </c>
      <c r="R18" s="722">
        <f>SUM(C18:Q18)</f>
        <v>479.93377802883589</v>
      </c>
      <c r="S18" s="67"/>
    </row>
    <row r="19" spans="1:19" s="475" customFormat="1" ht="15" thickBot="1">
      <c r="A19" s="871" t="s">
        <v>307</v>
      </c>
      <c r="B19" s="876"/>
      <c r="C19" s="728">
        <f>transport!B14</f>
        <v>8.8502048104592603</v>
      </c>
      <c r="D19" s="728">
        <f>transport!C14</f>
        <v>0</v>
      </c>
      <c r="E19" s="728">
        <f>transport!D14</f>
        <v>23.345965455502778</v>
      </c>
      <c r="F19" s="728">
        <f>transport!E14</f>
        <v>148.69432916946974</v>
      </c>
      <c r="G19" s="728">
        <f>transport!F14</f>
        <v>0</v>
      </c>
      <c r="H19" s="728">
        <f>transport!G14</f>
        <v>43160.374708552234</v>
      </c>
      <c r="I19" s="728">
        <f>transport!H14</f>
        <v>8822.7056462587552</v>
      </c>
      <c r="J19" s="728">
        <f>transport!I14</f>
        <v>0</v>
      </c>
      <c r="K19" s="728">
        <f>transport!J14</f>
        <v>0</v>
      </c>
      <c r="L19" s="728">
        <f>transport!K14</f>
        <v>0</v>
      </c>
      <c r="M19" s="728">
        <f>transport!L14</f>
        <v>0</v>
      </c>
      <c r="N19" s="728">
        <f>transport!M14</f>
        <v>2768.2279486385096</v>
      </c>
      <c r="O19" s="728">
        <f>transport!N14</f>
        <v>0</v>
      </c>
      <c r="P19" s="728">
        <f>transport!O14</f>
        <v>0</v>
      </c>
      <c r="Q19" s="729">
        <f>transport!P14</f>
        <v>0</v>
      </c>
      <c r="R19" s="730">
        <f>SUM(C19:Q19)</f>
        <v>54932.19880288493</v>
      </c>
      <c r="S19" s="67"/>
    </row>
    <row r="20" spans="1:19" s="475" customFormat="1" ht="15.75" thickBot="1">
      <c r="A20" s="731" t="s">
        <v>230</v>
      </c>
      <c r="B20" s="879"/>
      <c r="C20" s="874">
        <f>SUM(C17:C19)</f>
        <v>8.8502048104592603</v>
      </c>
      <c r="D20" s="732">
        <f t="shared" ref="D20:R20" si="1">SUM(D17:D19)</f>
        <v>0</v>
      </c>
      <c r="E20" s="732">
        <f t="shared" si="1"/>
        <v>23.345965455502778</v>
      </c>
      <c r="F20" s="732">
        <f t="shared" si="1"/>
        <v>148.69432916946974</v>
      </c>
      <c r="G20" s="732">
        <f t="shared" si="1"/>
        <v>0</v>
      </c>
      <c r="H20" s="732">
        <f t="shared" si="1"/>
        <v>43614.415844215597</v>
      </c>
      <c r="I20" s="732">
        <f t="shared" si="1"/>
        <v>8822.7056462587552</v>
      </c>
      <c r="J20" s="732">
        <f t="shared" si="1"/>
        <v>0</v>
      </c>
      <c r="K20" s="732">
        <f t="shared" si="1"/>
        <v>0</v>
      </c>
      <c r="L20" s="732">
        <f t="shared" si="1"/>
        <v>0</v>
      </c>
      <c r="M20" s="732">
        <f t="shared" si="1"/>
        <v>0</v>
      </c>
      <c r="N20" s="732">
        <f t="shared" si="1"/>
        <v>2794.1205910039803</v>
      </c>
      <c r="O20" s="732">
        <f t="shared" si="1"/>
        <v>0</v>
      </c>
      <c r="P20" s="732">
        <f t="shared" si="1"/>
        <v>0</v>
      </c>
      <c r="Q20" s="733">
        <f t="shared" si="1"/>
        <v>0</v>
      </c>
      <c r="R20" s="734">
        <f t="shared" si="1"/>
        <v>55412.132580913763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3547.9470000000001</v>
      </c>
      <c r="D22" s="728">
        <f>+landbouw!C8</f>
        <v>62.357142857142847</v>
      </c>
      <c r="E22" s="728">
        <f>+landbouw!D8</f>
        <v>3811.7726240000002</v>
      </c>
      <c r="F22" s="728">
        <f>+landbouw!E8</f>
        <v>32.862571130801122</v>
      </c>
      <c r="G22" s="728">
        <f>+landbouw!F8</f>
        <v>9001.8174222098969</v>
      </c>
      <c r="H22" s="728">
        <f>+landbouw!G8</f>
        <v>0</v>
      </c>
      <c r="I22" s="728">
        <f>+landbouw!H8</f>
        <v>0</v>
      </c>
      <c r="J22" s="728">
        <f>+landbouw!I8</f>
        <v>0</v>
      </c>
      <c r="K22" s="728">
        <f>+landbouw!J8</f>
        <v>543.93987030408243</v>
      </c>
      <c r="L22" s="728">
        <f>+landbouw!K8</f>
        <v>0</v>
      </c>
      <c r="M22" s="728">
        <f>+landbouw!L8</f>
        <v>0</v>
      </c>
      <c r="N22" s="728">
        <f>+landbouw!M8</f>
        <v>0</v>
      </c>
      <c r="O22" s="728">
        <f>+landbouw!N8</f>
        <v>0</v>
      </c>
      <c r="P22" s="728">
        <f>+landbouw!O8</f>
        <v>0</v>
      </c>
      <c r="Q22" s="729">
        <f>+landbouw!P8</f>
        <v>0</v>
      </c>
      <c r="R22" s="730">
        <f>SUM(C22:Q22)</f>
        <v>17000.696630501923</v>
      </c>
      <c r="S22" s="67"/>
    </row>
    <row r="23" spans="1:19" s="475" customFormat="1" ht="17.25" thickTop="1" thickBot="1">
      <c r="A23" s="735" t="s">
        <v>116</v>
      </c>
      <c r="B23" s="865"/>
      <c r="C23" s="736">
        <f ca="1">C20+C15+C22</f>
        <v>39697.739584189614</v>
      </c>
      <c r="D23" s="736">
        <f t="shared" ref="D23:Q23" ca="1" si="2">D20+D15+D22</f>
        <v>62.357142857142847</v>
      </c>
      <c r="E23" s="736">
        <f t="shared" ca="1" si="2"/>
        <v>37383.885599455505</v>
      </c>
      <c r="F23" s="736">
        <f t="shared" si="2"/>
        <v>4457.1722459948451</v>
      </c>
      <c r="G23" s="736">
        <f t="shared" ca="1" si="2"/>
        <v>65607.306446013245</v>
      </c>
      <c r="H23" s="736">
        <f t="shared" si="2"/>
        <v>43614.415844215597</v>
      </c>
      <c r="I23" s="736">
        <f t="shared" si="2"/>
        <v>8822.7056462587552</v>
      </c>
      <c r="J23" s="736">
        <f t="shared" si="2"/>
        <v>0</v>
      </c>
      <c r="K23" s="736">
        <f t="shared" si="2"/>
        <v>551.87569385642223</v>
      </c>
      <c r="L23" s="736">
        <f t="shared" si="2"/>
        <v>0</v>
      </c>
      <c r="M23" s="736">
        <f t="shared" ca="1" si="2"/>
        <v>0</v>
      </c>
      <c r="N23" s="736">
        <f t="shared" si="2"/>
        <v>2794.1205910039803</v>
      </c>
      <c r="O23" s="736">
        <f t="shared" ca="1" si="2"/>
        <v>10744.450122969925</v>
      </c>
      <c r="P23" s="736">
        <f t="shared" si="2"/>
        <v>359.56666666666666</v>
      </c>
      <c r="Q23" s="737">
        <f t="shared" si="2"/>
        <v>476.66666666666669</v>
      </c>
      <c r="R23" s="738">
        <f ca="1">R20+R15+R22</f>
        <v>214572.26225014837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1558.5187340885366</v>
      </c>
      <c r="D36" s="719">
        <f ca="1">tertiair!C20</f>
        <v>0</v>
      </c>
      <c r="E36" s="719">
        <f ca="1">tertiair!D20</f>
        <v>897.20839018800007</v>
      </c>
      <c r="F36" s="719">
        <f>tertiair!E20</f>
        <v>21.21872616486165</v>
      </c>
      <c r="G36" s="719">
        <f ca="1">tertiair!F20</f>
        <v>344.63737604035413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2821.5832264817518</v>
      </c>
    </row>
    <row r="37" spans="1:18">
      <c r="A37" s="886" t="s">
        <v>225</v>
      </c>
      <c r="B37" s="893"/>
      <c r="C37" s="719">
        <f ca="1">huishoudens!B12</f>
        <v>3932.3245529081264</v>
      </c>
      <c r="D37" s="719">
        <f ca="1">huishoudens!C12</f>
        <v>0</v>
      </c>
      <c r="E37" s="719">
        <f>huishoudens!D12</f>
        <v>5212.9998345480008</v>
      </c>
      <c r="F37" s="719">
        <f>huishoudens!E12</f>
        <v>873.14666946934483</v>
      </c>
      <c r="G37" s="719">
        <f>huishoudens!F12</f>
        <v>14363.763861618729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24382.2349185442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745.67759589845161</v>
      </c>
      <c r="D39" s="719">
        <f ca="1">industrie!C22</f>
        <v>0</v>
      </c>
      <c r="E39" s="719">
        <f>industrie!D22</f>
        <v>666.64271128400014</v>
      </c>
      <c r="F39" s="719">
        <f>industrie!E22</f>
        <v>76.199287838461942</v>
      </c>
      <c r="G39" s="719">
        <f>industrie!F22</f>
        <v>405.26433169641081</v>
      </c>
      <c r="H39" s="719">
        <f>industrie!G22</f>
        <v>0</v>
      </c>
      <c r="I39" s="719">
        <f>industrie!H22</f>
        <v>0</v>
      </c>
      <c r="J39" s="719">
        <f>industrie!I22</f>
        <v>0</v>
      </c>
      <c r="K39" s="719">
        <f>industrie!J22</f>
        <v>2.8092815375282711</v>
      </c>
      <c r="L39" s="719">
        <f>industrie!K22</f>
        <v>0</v>
      </c>
      <c r="M39" s="719">
        <f>industrie!L22</f>
        <v>0</v>
      </c>
      <c r="N39" s="719">
        <f>industrie!M22</f>
        <v>0</v>
      </c>
      <c r="O39" s="719">
        <f>industrie!N22</f>
        <v>0</v>
      </c>
      <c r="P39" s="719">
        <f>industrie!O22</f>
        <v>0</v>
      </c>
      <c r="Q39" s="829">
        <f>industrie!P22</f>
        <v>0</v>
      </c>
      <c r="R39" s="919">
        <f ca="1">SUM(C39:Q39)</f>
        <v>1896.5932082548529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6236.5208828951145</v>
      </c>
      <c r="D41" s="764">
        <f t="shared" ref="D41:R41" ca="1" si="4">SUM(D35:D40)</f>
        <v>0</v>
      </c>
      <c r="E41" s="764">
        <f t="shared" ca="1" si="4"/>
        <v>6776.8509360200014</v>
      </c>
      <c r="F41" s="764">
        <f t="shared" si="4"/>
        <v>970.56468347266843</v>
      </c>
      <c r="G41" s="764">
        <f t="shared" ca="1" si="4"/>
        <v>15113.665569355495</v>
      </c>
      <c r="H41" s="764">
        <f t="shared" si="4"/>
        <v>0</v>
      </c>
      <c r="I41" s="764">
        <f t="shared" si="4"/>
        <v>0</v>
      </c>
      <c r="J41" s="764">
        <f t="shared" si="4"/>
        <v>0</v>
      </c>
      <c r="K41" s="764">
        <f t="shared" si="4"/>
        <v>2.8092815375282711</v>
      </c>
      <c r="L41" s="764">
        <f t="shared" si="4"/>
        <v>0</v>
      </c>
      <c r="M41" s="764">
        <f t="shared" ca="1" si="4"/>
        <v>0</v>
      </c>
      <c r="N41" s="764">
        <f t="shared" si="4"/>
        <v>0</v>
      </c>
      <c r="O41" s="764">
        <f t="shared" ca="1" si="4"/>
        <v>0</v>
      </c>
      <c r="P41" s="764">
        <f t="shared" si="4"/>
        <v>0</v>
      </c>
      <c r="Q41" s="765">
        <f t="shared" si="4"/>
        <v>0</v>
      </c>
      <c r="R41" s="766">
        <f t="shared" ca="1" si="4"/>
        <v>29100.411353280804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121.22898322211853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121.22898322211853</v>
      </c>
    </row>
    <row r="45" spans="1:18" ht="15" thickBot="1">
      <c r="A45" s="889" t="s">
        <v>307</v>
      </c>
      <c r="B45" s="899"/>
      <c r="C45" s="728">
        <f ca="1">transport!B18</f>
        <v>1.5272011044687135</v>
      </c>
      <c r="D45" s="728">
        <f>transport!C18</f>
        <v>0</v>
      </c>
      <c r="E45" s="728">
        <f>transport!D18</f>
        <v>4.7158850220115616</v>
      </c>
      <c r="F45" s="728">
        <f>transport!E18</f>
        <v>33.753612721469629</v>
      </c>
      <c r="G45" s="728">
        <f>transport!F18</f>
        <v>0</v>
      </c>
      <c r="H45" s="728">
        <f>transport!G18</f>
        <v>11523.820047183446</v>
      </c>
      <c r="I45" s="728">
        <f>transport!H18</f>
        <v>2196.85370591843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13760.670451949827</v>
      </c>
    </row>
    <row r="46" spans="1:18" ht="15.75" thickBot="1">
      <c r="A46" s="887" t="s">
        <v>230</v>
      </c>
      <c r="B46" s="900"/>
      <c r="C46" s="764">
        <f t="shared" ref="C46:R46" ca="1" si="5">SUM(C43:C45)</f>
        <v>1.5272011044687135</v>
      </c>
      <c r="D46" s="764">
        <f t="shared" ca="1" si="5"/>
        <v>0</v>
      </c>
      <c r="E46" s="764">
        <f t="shared" si="5"/>
        <v>4.7158850220115616</v>
      </c>
      <c r="F46" s="764">
        <f t="shared" si="5"/>
        <v>33.753612721469629</v>
      </c>
      <c r="G46" s="764">
        <f t="shared" si="5"/>
        <v>0</v>
      </c>
      <c r="H46" s="764">
        <f t="shared" si="5"/>
        <v>11645.049030405564</v>
      </c>
      <c r="I46" s="764">
        <f t="shared" si="5"/>
        <v>2196.85370591843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13881.899435171945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612.23764794605722</v>
      </c>
      <c r="D48" s="719">
        <f ca="1">+landbouw!C12</f>
        <v>0</v>
      </c>
      <c r="E48" s="719">
        <f>+landbouw!D12</f>
        <v>769.97807004800006</v>
      </c>
      <c r="F48" s="719">
        <f>+landbouw!E12</f>
        <v>7.4598036466918547</v>
      </c>
      <c r="G48" s="719">
        <f>+landbouw!F12</f>
        <v>2403.4852517300428</v>
      </c>
      <c r="H48" s="719">
        <f>+landbouw!G12</f>
        <v>0</v>
      </c>
      <c r="I48" s="719">
        <f>+landbouw!H12</f>
        <v>0</v>
      </c>
      <c r="J48" s="719">
        <f>+landbouw!I12</f>
        <v>0</v>
      </c>
      <c r="K48" s="719">
        <f>+landbouw!J12</f>
        <v>192.55471408764518</v>
      </c>
      <c r="L48" s="719">
        <f>+landbouw!K12</f>
        <v>0</v>
      </c>
      <c r="M48" s="719">
        <f>+landbouw!L12</f>
        <v>0</v>
      </c>
      <c r="N48" s="719">
        <f>+landbouw!M12</f>
        <v>0</v>
      </c>
      <c r="O48" s="719">
        <f>+landbouw!N12</f>
        <v>0</v>
      </c>
      <c r="P48" s="719">
        <f>+landbouw!O12</f>
        <v>0</v>
      </c>
      <c r="Q48" s="720">
        <f>+landbouw!P12</f>
        <v>0</v>
      </c>
      <c r="R48" s="762">
        <f ca="1">SUM(C48:Q48)</f>
        <v>3985.7154874584371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6850.2857319456407</v>
      </c>
      <c r="D53" s="774">
        <f t="shared" ref="D53:Q53" ca="1" si="6">D41+D46+D48</f>
        <v>0</v>
      </c>
      <c r="E53" s="774">
        <f t="shared" ca="1" si="6"/>
        <v>7551.5448910900122</v>
      </c>
      <c r="F53" s="774">
        <f t="shared" si="6"/>
        <v>1011.7780998408299</v>
      </c>
      <c r="G53" s="774">
        <f t="shared" ca="1" si="6"/>
        <v>17517.150821085539</v>
      </c>
      <c r="H53" s="774">
        <f t="shared" si="6"/>
        <v>11645.049030405564</v>
      </c>
      <c r="I53" s="774">
        <f t="shared" si="6"/>
        <v>2196.85370591843</v>
      </c>
      <c r="J53" s="774">
        <f t="shared" si="6"/>
        <v>0</v>
      </c>
      <c r="K53" s="774">
        <f t="shared" si="6"/>
        <v>195.36399562517346</v>
      </c>
      <c r="L53" s="774">
        <f t="shared" si="6"/>
        <v>0</v>
      </c>
      <c r="M53" s="774">
        <f t="shared" ca="1" si="6"/>
        <v>0</v>
      </c>
      <c r="N53" s="774">
        <f t="shared" si="6"/>
        <v>0</v>
      </c>
      <c r="O53" s="774">
        <f t="shared" ca="1" si="6"/>
        <v>0</v>
      </c>
      <c r="P53" s="774">
        <f>P41+P46+P48</f>
        <v>0</v>
      </c>
      <c r="Q53" s="775">
        <f t="shared" si="6"/>
        <v>0</v>
      </c>
      <c r="R53" s="776">
        <f ca="1">R41+R46+R48</f>
        <v>46968.026275911187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0.17256110306779024</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8657.321566336037</v>
      </c>
      <c r="C66" s="796">
        <f>'lokale energieproductie'!B6</f>
        <v>8657.321566336037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8700.9715663360366</v>
      </c>
      <c r="C69" s="804">
        <f>SUM(C64:C68)</f>
        <v>8700.9715663360366</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22788.012379379157</v>
      </c>
      <c r="C4" s="479">
        <f>huishoudens!C8</f>
        <v>0</v>
      </c>
      <c r="D4" s="479">
        <f>huishoudens!D8</f>
        <v>25806.929874000001</v>
      </c>
      <c r="E4" s="479">
        <f>huishoudens!E8</f>
        <v>3846.461098983898</v>
      </c>
      <c r="F4" s="479">
        <f>huishoudens!F8</f>
        <v>53796.868395575759</v>
      </c>
      <c r="G4" s="479">
        <f>huishoudens!G8</f>
        <v>0</v>
      </c>
      <c r="H4" s="479">
        <f>huishoudens!H8</f>
        <v>0</v>
      </c>
      <c r="I4" s="479">
        <f>huishoudens!I8</f>
        <v>0</v>
      </c>
      <c r="J4" s="479">
        <f>huishoudens!J8</f>
        <v>0</v>
      </c>
      <c r="K4" s="479">
        <f>huishoudens!K8</f>
        <v>0</v>
      </c>
      <c r="L4" s="479">
        <f>huishoudens!L8</f>
        <v>0</v>
      </c>
      <c r="M4" s="479">
        <f>huishoudens!M8</f>
        <v>0</v>
      </c>
      <c r="N4" s="479">
        <f>huishoudens!N8</f>
        <v>9301.7168867019063</v>
      </c>
      <c r="O4" s="479">
        <f>huishoudens!O8</f>
        <v>356.44</v>
      </c>
      <c r="P4" s="480">
        <f>huishoudens!P8</f>
        <v>457.6</v>
      </c>
      <c r="Q4" s="481">
        <f>SUM(B4:P4)</f>
        <v>116354.02863464074</v>
      </c>
    </row>
    <row r="5" spans="1:17">
      <c r="A5" s="478" t="s">
        <v>156</v>
      </c>
      <c r="B5" s="479">
        <f ca="1">tertiair!B16</f>
        <v>8410.2070000000003</v>
      </c>
      <c r="C5" s="479">
        <f ca="1">tertiair!C16</f>
        <v>0</v>
      </c>
      <c r="D5" s="479">
        <f ca="1">tertiair!D16</f>
        <v>4441.6256940000003</v>
      </c>
      <c r="E5" s="479">
        <f>tertiair!E16</f>
        <v>93.474564602914754</v>
      </c>
      <c r="F5" s="479">
        <f ca="1">tertiair!F16</f>
        <v>1290.7766892897157</v>
      </c>
      <c r="G5" s="479">
        <f>tertiair!G16</f>
        <v>0</v>
      </c>
      <c r="H5" s="479">
        <f>tertiair!H16</f>
        <v>0</v>
      </c>
      <c r="I5" s="479">
        <f>tertiair!I16</f>
        <v>0</v>
      </c>
      <c r="J5" s="479">
        <f>tertiair!J16</f>
        <v>0</v>
      </c>
      <c r="K5" s="479">
        <f>tertiair!K16</f>
        <v>0</v>
      </c>
      <c r="L5" s="479">
        <f ca="1">tertiair!L16</f>
        <v>0</v>
      </c>
      <c r="M5" s="479">
        <f>tertiair!M16</f>
        <v>0</v>
      </c>
      <c r="N5" s="479">
        <f ca="1">tertiair!N16</f>
        <v>962.91709262059749</v>
      </c>
      <c r="O5" s="479">
        <f>tertiair!O16</f>
        <v>3.1266666666666669</v>
      </c>
      <c r="P5" s="480">
        <f>tertiair!P16</f>
        <v>19.066666666666666</v>
      </c>
      <c r="Q5" s="478">
        <f t="shared" ref="Q5:Q13" ca="1" si="0">SUM(B5:P5)</f>
        <v>15221.194373846563</v>
      </c>
    </row>
    <row r="6" spans="1:17">
      <c r="A6" s="478" t="s">
        <v>194</v>
      </c>
      <c r="B6" s="479">
        <f>'openbare verlichting'!B8</f>
        <v>621.48500000000001</v>
      </c>
      <c r="C6" s="479"/>
      <c r="D6" s="479"/>
      <c r="E6" s="479"/>
      <c r="F6" s="479"/>
      <c r="G6" s="479"/>
      <c r="H6" s="479"/>
      <c r="I6" s="479"/>
      <c r="J6" s="479"/>
      <c r="K6" s="479"/>
      <c r="L6" s="479"/>
      <c r="M6" s="479"/>
      <c r="N6" s="479"/>
      <c r="O6" s="479"/>
      <c r="P6" s="480"/>
      <c r="Q6" s="478">
        <f t="shared" si="0"/>
        <v>621.48500000000001</v>
      </c>
    </row>
    <row r="7" spans="1:17">
      <c r="A7" s="478" t="s">
        <v>112</v>
      </c>
      <c r="B7" s="479">
        <f>landbouw!B8</f>
        <v>3547.9470000000001</v>
      </c>
      <c r="C7" s="479">
        <f>landbouw!C8</f>
        <v>62.357142857142847</v>
      </c>
      <c r="D7" s="479">
        <f>landbouw!D8</f>
        <v>3811.7726240000002</v>
      </c>
      <c r="E7" s="479">
        <f>landbouw!E8</f>
        <v>32.862571130801122</v>
      </c>
      <c r="F7" s="479">
        <f>landbouw!F8</f>
        <v>9001.8174222098969</v>
      </c>
      <c r="G7" s="479">
        <f>landbouw!G8</f>
        <v>0</v>
      </c>
      <c r="H7" s="479">
        <f>landbouw!H8</f>
        <v>0</v>
      </c>
      <c r="I7" s="479">
        <f>landbouw!I8</f>
        <v>0</v>
      </c>
      <c r="J7" s="479">
        <f>landbouw!J8</f>
        <v>543.93987030408243</v>
      </c>
      <c r="K7" s="479">
        <f>landbouw!K8</f>
        <v>0</v>
      </c>
      <c r="L7" s="479">
        <f>landbouw!L8</f>
        <v>0</v>
      </c>
      <c r="M7" s="479">
        <f>landbouw!M8</f>
        <v>0</v>
      </c>
      <c r="N7" s="479">
        <f>landbouw!N8</f>
        <v>0</v>
      </c>
      <c r="O7" s="479">
        <f>landbouw!O8</f>
        <v>0</v>
      </c>
      <c r="P7" s="480">
        <f>landbouw!P8</f>
        <v>0</v>
      </c>
      <c r="Q7" s="478">
        <f t="shared" si="0"/>
        <v>17000.696630501923</v>
      </c>
    </row>
    <row r="8" spans="1:17">
      <c r="A8" s="478" t="s">
        <v>650</v>
      </c>
      <c r="B8" s="479">
        <f>industrie!B18</f>
        <v>4321.2379999999994</v>
      </c>
      <c r="C8" s="479">
        <f>industrie!C18</f>
        <v>0</v>
      </c>
      <c r="D8" s="479">
        <f>industrie!D18</f>
        <v>3300.2114420000003</v>
      </c>
      <c r="E8" s="479">
        <f>industrie!E18</f>
        <v>335.67968210776183</v>
      </c>
      <c r="F8" s="479">
        <f>industrie!F18</f>
        <v>1517.8439389378682</v>
      </c>
      <c r="G8" s="479">
        <f>industrie!G18</f>
        <v>0</v>
      </c>
      <c r="H8" s="479">
        <f>industrie!H18</f>
        <v>0</v>
      </c>
      <c r="I8" s="479">
        <f>industrie!I18</f>
        <v>0</v>
      </c>
      <c r="J8" s="479">
        <f>industrie!J18</f>
        <v>7.93582355233975</v>
      </c>
      <c r="K8" s="479">
        <f>industrie!K18</f>
        <v>0</v>
      </c>
      <c r="L8" s="479">
        <f>industrie!L18</f>
        <v>0</v>
      </c>
      <c r="M8" s="479">
        <f>industrie!M18</f>
        <v>0</v>
      </c>
      <c r="N8" s="479">
        <f>industrie!N18</f>
        <v>479.81614364742188</v>
      </c>
      <c r="O8" s="479">
        <f>industrie!O18</f>
        <v>0</v>
      </c>
      <c r="P8" s="480">
        <f>industrie!P18</f>
        <v>0</v>
      </c>
      <c r="Q8" s="478">
        <f t="shared" si="0"/>
        <v>9962.7250302453904</v>
      </c>
    </row>
    <row r="9" spans="1:17" s="484" customFormat="1">
      <c r="A9" s="482" t="s">
        <v>571</v>
      </c>
      <c r="B9" s="483">
        <f>transport!B14</f>
        <v>8.8502048104592603</v>
      </c>
      <c r="C9" s="483"/>
      <c r="D9" s="483">
        <f>transport!D14</f>
        <v>23.345965455502778</v>
      </c>
      <c r="E9" s="483">
        <f>transport!E14</f>
        <v>148.69432916946974</v>
      </c>
      <c r="F9" s="483"/>
      <c r="G9" s="483">
        <f>transport!G14</f>
        <v>43160.374708552234</v>
      </c>
      <c r="H9" s="483">
        <f>transport!H14</f>
        <v>8822.7056462587552</v>
      </c>
      <c r="I9" s="483"/>
      <c r="J9" s="483"/>
      <c r="K9" s="483"/>
      <c r="L9" s="483"/>
      <c r="M9" s="483">
        <f>transport!M14</f>
        <v>2768.2279486385096</v>
      </c>
      <c r="N9" s="483"/>
      <c r="O9" s="483"/>
      <c r="P9" s="483"/>
      <c r="Q9" s="482">
        <f>SUM(B9:P9)</f>
        <v>54932.19880288493</v>
      </c>
    </row>
    <row r="10" spans="1:17">
      <c r="A10" s="478" t="s">
        <v>561</v>
      </c>
      <c r="B10" s="479">
        <f>transport!B54</f>
        <v>0</v>
      </c>
      <c r="C10" s="479"/>
      <c r="D10" s="479">
        <f>transport!D54</f>
        <v>0</v>
      </c>
      <c r="E10" s="479"/>
      <c r="F10" s="479"/>
      <c r="G10" s="479">
        <f>transport!G54</f>
        <v>454.04113566336525</v>
      </c>
      <c r="H10" s="479"/>
      <c r="I10" s="479"/>
      <c r="J10" s="479"/>
      <c r="K10" s="479"/>
      <c r="L10" s="479"/>
      <c r="M10" s="479">
        <f>transport!M54</f>
        <v>25.89264236547065</v>
      </c>
      <c r="N10" s="479"/>
      <c r="O10" s="479"/>
      <c r="P10" s="480"/>
      <c r="Q10" s="478">
        <f t="shared" si="0"/>
        <v>479.93377802883589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39697.739584189614</v>
      </c>
      <c r="C14" s="489">
        <f t="shared" ref="C14:Q14" ca="1" si="1">SUM(C4:C13)</f>
        <v>62.357142857142847</v>
      </c>
      <c r="D14" s="489">
        <f t="shared" ca="1" si="1"/>
        <v>37383.885599455505</v>
      </c>
      <c r="E14" s="489">
        <f t="shared" si="1"/>
        <v>4457.1722459948451</v>
      </c>
      <c r="F14" s="489">
        <f t="shared" ca="1" si="1"/>
        <v>65607.30644601323</v>
      </c>
      <c r="G14" s="489">
        <f t="shared" si="1"/>
        <v>43614.415844215597</v>
      </c>
      <c r="H14" s="489">
        <f t="shared" si="1"/>
        <v>8822.7056462587552</v>
      </c>
      <c r="I14" s="489">
        <f t="shared" si="1"/>
        <v>0</v>
      </c>
      <c r="J14" s="489">
        <f t="shared" si="1"/>
        <v>551.87569385642223</v>
      </c>
      <c r="K14" s="489">
        <f t="shared" si="1"/>
        <v>0</v>
      </c>
      <c r="L14" s="489">
        <f t="shared" ca="1" si="1"/>
        <v>0</v>
      </c>
      <c r="M14" s="489">
        <f t="shared" si="1"/>
        <v>2794.1205910039803</v>
      </c>
      <c r="N14" s="489">
        <f t="shared" ca="1" si="1"/>
        <v>10744.450122969925</v>
      </c>
      <c r="O14" s="489">
        <f t="shared" si="1"/>
        <v>359.56666666666666</v>
      </c>
      <c r="P14" s="490">
        <f t="shared" si="1"/>
        <v>476.66666666666669</v>
      </c>
      <c r="Q14" s="490">
        <f t="shared" ca="1" si="1"/>
        <v>214572.2622501484</v>
      </c>
    </row>
    <row r="16" spans="1:17">
      <c r="A16" s="492" t="s">
        <v>566</v>
      </c>
      <c r="B16" s="842">
        <f ca="1">huishoudens!B10</f>
        <v>0.17256110306779024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3932.3245529081264</v>
      </c>
      <c r="C21" s="479">
        <f t="shared" ref="C21:C28" ca="1" si="3">C4*$C$16</f>
        <v>0</v>
      </c>
      <c r="D21" s="479">
        <f t="shared" ref="D21:D30" si="4">D4*$D$16</f>
        <v>5212.9998345480008</v>
      </c>
      <c r="E21" s="479">
        <f t="shared" ref="E21:E30" si="5">E4*$E$16</f>
        <v>873.14666946934483</v>
      </c>
      <c r="F21" s="479">
        <f t="shared" ref="F21:F28" si="6">F4*$F$16</f>
        <v>14363.763861618729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24382.2349185442</v>
      </c>
    </row>
    <row r="22" spans="1:17">
      <c r="A22" s="478" t="s">
        <v>156</v>
      </c>
      <c r="B22" s="479">
        <f t="shared" ca="1" si="2"/>
        <v>1451.2745969484511</v>
      </c>
      <c r="C22" s="479">
        <f t="shared" ca="1" si="3"/>
        <v>0</v>
      </c>
      <c r="D22" s="479">
        <f t="shared" ca="1" si="4"/>
        <v>897.20839018800007</v>
      </c>
      <c r="E22" s="479">
        <f t="shared" si="5"/>
        <v>21.21872616486165</v>
      </c>
      <c r="F22" s="479">
        <f t="shared" ca="1" si="6"/>
        <v>344.63737604035413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2714.3390893416663</v>
      </c>
    </row>
    <row r="23" spans="1:17">
      <c r="A23" s="478" t="s">
        <v>194</v>
      </c>
      <c r="B23" s="479">
        <f t="shared" ca="1" si="2"/>
        <v>107.24413714008561</v>
      </c>
      <c r="C23" s="479"/>
      <c r="D23" s="479"/>
      <c r="E23" s="479"/>
      <c r="F23" s="479"/>
      <c r="G23" s="479"/>
      <c r="H23" s="479"/>
      <c r="I23" s="479"/>
      <c r="J23" s="479"/>
      <c r="K23" s="479"/>
      <c r="L23" s="479"/>
      <c r="M23" s="479"/>
      <c r="N23" s="479"/>
      <c r="O23" s="479"/>
      <c r="P23" s="480"/>
      <c r="Q23" s="478">
        <f t="shared" ca="1" si="17"/>
        <v>107.24413714008561</v>
      </c>
    </row>
    <row r="24" spans="1:17">
      <c r="A24" s="478" t="s">
        <v>112</v>
      </c>
      <c r="B24" s="479">
        <f t="shared" ca="1" si="2"/>
        <v>612.23764794605722</v>
      </c>
      <c r="C24" s="479">
        <f t="shared" ca="1" si="3"/>
        <v>0</v>
      </c>
      <c r="D24" s="479">
        <f t="shared" si="4"/>
        <v>769.97807004800006</v>
      </c>
      <c r="E24" s="479">
        <f t="shared" si="5"/>
        <v>7.4598036466918547</v>
      </c>
      <c r="F24" s="479">
        <f t="shared" si="6"/>
        <v>2403.4852517300428</v>
      </c>
      <c r="G24" s="479">
        <f t="shared" si="7"/>
        <v>0</v>
      </c>
      <c r="H24" s="479">
        <f t="shared" si="8"/>
        <v>0</v>
      </c>
      <c r="I24" s="479">
        <f t="shared" si="9"/>
        <v>0</v>
      </c>
      <c r="J24" s="479">
        <f t="shared" si="10"/>
        <v>192.55471408764518</v>
      </c>
      <c r="K24" s="479">
        <f t="shared" si="11"/>
        <v>0</v>
      </c>
      <c r="L24" s="479">
        <f t="shared" si="12"/>
        <v>0</v>
      </c>
      <c r="M24" s="479">
        <f t="shared" si="13"/>
        <v>0</v>
      </c>
      <c r="N24" s="479">
        <f t="shared" si="14"/>
        <v>0</v>
      </c>
      <c r="O24" s="479">
        <f t="shared" si="15"/>
        <v>0</v>
      </c>
      <c r="P24" s="480">
        <f t="shared" si="16"/>
        <v>0</v>
      </c>
      <c r="Q24" s="478">
        <f t="shared" ca="1" si="17"/>
        <v>3985.7154874584371</v>
      </c>
    </row>
    <row r="25" spans="1:17">
      <c r="A25" s="478" t="s">
        <v>650</v>
      </c>
      <c r="B25" s="479">
        <f t="shared" ca="1" si="2"/>
        <v>745.67759589845161</v>
      </c>
      <c r="C25" s="479">
        <f t="shared" ca="1" si="3"/>
        <v>0</v>
      </c>
      <c r="D25" s="479">
        <f t="shared" si="4"/>
        <v>666.64271128400014</v>
      </c>
      <c r="E25" s="479">
        <f t="shared" si="5"/>
        <v>76.199287838461942</v>
      </c>
      <c r="F25" s="479">
        <f t="shared" si="6"/>
        <v>405.26433169641081</v>
      </c>
      <c r="G25" s="479">
        <f t="shared" si="7"/>
        <v>0</v>
      </c>
      <c r="H25" s="479">
        <f t="shared" si="8"/>
        <v>0</v>
      </c>
      <c r="I25" s="479">
        <f t="shared" si="9"/>
        <v>0</v>
      </c>
      <c r="J25" s="479">
        <f t="shared" si="10"/>
        <v>2.8092815375282711</v>
      </c>
      <c r="K25" s="479">
        <f t="shared" si="11"/>
        <v>0</v>
      </c>
      <c r="L25" s="479">
        <f t="shared" si="12"/>
        <v>0</v>
      </c>
      <c r="M25" s="479">
        <f t="shared" si="13"/>
        <v>0</v>
      </c>
      <c r="N25" s="479">
        <f t="shared" si="14"/>
        <v>0</v>
      </c>
      <c r="O25" s="479">
        <f t="shared" si="15"/>
        <v>0</v>
      </c>
      <c r="P25" s="480">
        <f t="shared" si="16"/>
        <v>0</v>
      </c>
      <c r="Q25" s="478">
        <f t="shared" ca="1" si="17"/>
        <v>1896.5932082548529</v>
      </c>
    </row>
    <row r="26" spans="1:17" s="484" customFormat="1">
      <c r="A26" s="482" t="s">
        <v>571</v>
      </c>
      <c r="B26" s="836">
        <f t="shared" ca="1" si="2"/>
        <v>1.5272011044687135</v>
      </c>
      <c r="C26" s="483"/>
      <c r="D26" s="483">
        <f t="shared" si="4"/>
        <v>4.7158850220115616</v>
      </c>
      <c r="E26" s="483">
        <f t="shared" si="5"/>
        <v>33.753612721469629</v>
      </c>
      <c r="F26" s="483"/>
      <c r="G26" s="483">
        <f t="shared" si="7"/>
        <v>11523.820047183446</v>
      </c>
      <c r="H26" s="483">
        <f t="shared" si="8"/>
        <v>2196.85370591843</v>
      </c>
      <c r="I26" s="483"/>
      <c r="J26" s="483"/>
      <c r="K26" s="483"/>
      <c r="L26" s="483"/>
      <c r="M26" s="483">
        <f t="shared" si="13"/>
        <v>0</v>
      </c>
      <c r="N26" s="483"/>
      <c r="O26" s="483"/>
      <c r="P26" s="494"/>
      <c r="Q26" s="482">
        <f t="shared" ca="1" si="17"/>
        <v>13760.670451949827</v>
      </c>
    </row>
    <row r="27" spans="1:17">
      <c r="A27" s="478" t="s">
        <v>561</v>
      </c>
      <c r="B27" s="479">
        <f t="shared" ca="1" si="2"/>
        <v>0</v>
      </c>
      <c r="C27" s="479"/>
      <c r="D27" s="483">
        <f t="shared" si="4"/>
        <v>0</v>
      </c>
      <c r="E27" s="479"/>
      <c r="F27" s="479"/>
      <c r="G27" s="479">
        <f t="shared" si="7"/>
        <v>121.22898322211853</v>
      </c>
      <c r="H27" s="479"/>
      <c r="I27" s="479"/>
      <c r="J27" s="479"/>
      <c r="K27" s="479"/>
      <c r="L27" s="479"/>
      <c r="M27" s="479">
        <f t="shared" si="13"/>
        <v>0</v>
      </c>
      <c r="N27" s="479"/>
      <c r="O27" s="479"/>
      <c r="P27" s="480"/>
      <c r="Q27" s="478">
        <f t="shared" ca="1" si="17"/>
        <v>121.22898322211853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6850.2857319456407</v>
      </c>
      <c r="C31" s="489">
        <f t="shared" ca="1" si="18"/>
        <v>0</v>
      </c>
      <c r="D31" s="489">
        <f t="shared" ca="1" si="18"/>
        <v>7551.5448910900132</v>
      </c>
      <c r="E31" s="489">
        <f t="shared" si="18"/>
        <v>1011.7780998408299</v>
      </c>
      <c r="F31" s="489">
        <f t="shared" ca="1" si="18"/>
        <v>17517.150821085535</v>
      </c>
      <c r="G31" s="489">
        <f t="shared" si="18"/>
        <v>11645.049030405564</v>
      </c>
      <c r="H31" s="489">
        <f t="shared" si="18"/>
        <v>2196.85370591843</v>
      </c>
      <c r="I31" s="489">
        <f t="shared" si="18"/>
        <v>0</v>
      </c>
      <c r="J31" s="489">
        <f t="shared" si="18"/>
        <v>195.36399562517346</v>
      </c>
      <c r="K31" s="489">
        <f t="shared" si="18"/>
        <v>0</v>
      </c>
      <c r="L31" s="489">
        <f t="shared" ca="1" si="18"/>
        <v>0</v>
      </c>
      <c r="M31" s="489">
        <f t="shared" si="18"/>
        <v>0</v>
      </c>
      <c r="N31" s="489">
        <f t="shared" ca="1" si="18"/>
        <v>0</v>
      </c>
      <c r="O31" s="489">
        <f t="shared" si="18"/>
        <v>0</v>
      </c>
      <c r="P31" s="490">
        <f t="shared" si="18"/>
        <v>0</v>
      </c>
      <c r="Q31" s="490">
        <f t="shared" ca="1" si="18"/>
        <v>46968.026275911187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0.17256110306779024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0.17256110306779024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0.17256110306779024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4761</v>
      </c>
      <c r="C9" s="342">
        <v>4939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3010</v>
      </c>
    </row>
    <row r="15" spans="1:6">
      <c r="A15" s="348" t="s">
        <v>184</v>
      </c>
      <c r="B15" s="334">
        <v>443</v>
      </c>
    </row>
    <row r="16" spans="1:6">
      <c r="A16" s="348" t="s">
        <v>6</v>
      </c>
      <c r="B16" s="334">
        <v>2730</v>
      </c>
    </row>
    <row r="17" spans="1:6">
      <c r="A17" s="348" t="s">
        <v>7</v>
      </c>
      <c r="B17" s="334">
        <v>194</v>
      </c>
    </row>
    <row r="18" spans="1:6">
      <c r="A18" s="348" t="s">
        <v>8</v>
      </c>
      <c r="B18" s="334">
        <v>1472</v>
      </c>
    </row>
    <row r="19" spans="1:6">
      <c r="A19" s="348" t="s">
        <v>9</v>
      </c>
      <c r="B19" s="334">
        <v>1235</v>
      </c>
    </row>
    <row r="20" spans="1:6">
      <c r="A20" s="348" t="s">
        <v>10</v>
      </c>
      <c r="B20" s="334">
        <v>732</v>
      </c>
    </row>
    <row r="21" spans="1:6">
      <c r="A21" s="348" t="s">
        <v>11</v>
      </c>
      <c r="B21" s="334">
        <v>7960</v>
      </c>
    </row>
    <row r="22" spans="1:6">
      <c r="A22" s="348" t="s">
        <v>12</v>
      </c>
      <c r="B22" s="334">
        <v>21117</v>
      </c>
    </row>
    <row r="23" spans="1:6">
      <c r="A23" s="348" t="s">
        <v>13</v>
      </c>
      <c r="B23" s="334">
        <v>200</v>
      </c>
    </row>
    <row r="24" spans="1:6">
      <c r="A24" s="348" t="s">
        <v>14</v>
      </c>
      <c r="B24" s="334">
        <v>7</v>
      </c>
    </row>
    <row r="25" spans="1:6">
      <c r="A25" s="348" t="s">
        <v>15</v>
      </c>
      <c r="B25" s="334">
        <v>1917</v>
      </c>
    </row>
    <row r="26" spans="1:6">
      <c r="A26" s="348" t="s">
        <v>16</v>
      </c>
      <c r="B26" s="334">
        <v>258</v>
      </c>
    </row>
    <row r="27" spans="1:6">
      <c r="A27" s="348" t="s">
        <v>17</v>
      </c>
      <c r="B27" s="334">
        <v>2</v>
      </c>
    </row>
    <row r="28" spans="1:6" s="356" customFormat="1">
      <c r="A28" s="355" t="s">
        <v>18</v>
      </c>
      <c r="B28" s="355">
        <v>694734</v>
      </c>
    </row>
    <row r="29" spans="1:6">
      <c r="A29" s="355" t="s">
        <v>865</v>
      </c>
      <c r="B29" s="355">
        <v>103</v>
      </c>
      <c r="C29" s="356"/>
      <c r="D29" s="356"/>
      <c r="E29" s="356"/>
      <c r="F29" s="356"/>
    </row>
    <row r="30" spans="1:6">
      <c r="A30" s="341" t="s">
        <v>866</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215547</v>
      </c>
    </row>
    <row r="37" spans="1:6">
      <c r="A37" s="348" t="s">
        <v>25</v>
      </c>
      <c r="B37" s="348" t="s">
        <v>28</v>
      </c>
      <c r="C37" s="334">
        <v>0</v>
      </c>
      <c r="D37" s="334">
        <v>0</v>
      </c>
      <c r="E37" s="334">
        <v>0</v>
      </c>
      <c r="F37" s="334">
        <v>0</v>
      </c>
    </row>
    <row r="38" spans="1:6">
      <c r="A38" s="348" t="s">
        <v>25</v>
      </c>
      <c r="B38" s="348" t="s">
        <v>29</v>
      </c>
      <c r="C38" s="334">
        <v>0</v>
      </c>
      <c r="D38" s="334">
        <v>0</v>
      </c>
      <c r="E38" s="334">
        <v>1</v>
      </c>
      <c r="F38" s="334">
        <v>6419</v>
      </c>
    </row>
    <row r="39" spans="1:6">
      <c r="A39" s="348" t="s">
        <v>30</v>
      </c>
      <c r="B39" s="348" t="s">
        <v>31</v>
      </c>
      <c r="C39" s="334">
        <v>1767</v>
      </c>
      <c r="D39" s="334">
        <v>28610787</v>
      </c>
      <c r="E39" s="334">
        <v>4602</v>
      </c>
      <c r="F39" s="334">
        <v>17639416</v>
      </c>
    </row>
    <row r="40" spans="1:6">
      <c r="A40" s="348" t="s">
        <v>30</v>
      </c>
      <c r="B40" s="348" t="s">
        <v>29</v>
      </c>
      <c r="C40" s="334">
        <v>0</v>
      </c>
      <c r="D40" s="334">
        <v>0</v>
      </c>
      <c r="E40" s="334">
        <v>0</v>
      </c>
      <c r="F40" s="334">
        <v>0</v>
      </c>
    </row>
    <row r="41" spans="1:6">
      <c r="A41" s="348" t="s">
        <v>32</v>
      </c>
      <c r="B41" s="348" t="s">
        <v>33</v>
      </c>
      <c r="C41" s="334">
        <v>34</v>
      </c>
      <c r="D41" s="334">
        <v>1184137</v>
      </c>
      <c r="E41" s="334">
        <v>101</v>
      </c>
      <c r="F41" s="334">
        <v>1128174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447856</v>
      </c>
      <c r="E44" s="334">
        <v>23</v>
      </c>
      <c r="F44" s="334">
        <v>652194</v>
      </c>
    </row>
    <row r="45" spans="1:6">
      <c r="A45" s="348" t="s">
        <v>32</v>
      </c>
      <c r="B45" s="348" t="s">
        <v>37</v>
      </c>
      <c r="C45" s="334">
        <v>0</v>
      </c>
      <c r="D45" s="334">
        <v>0</v>
      </c>
      <c r="E45" s="334">
        <v>4</v>
      </c>
      <c r="F45" s="334">
        <v>2352765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2026778</v>
      </c>
      <c r="E48" s="334">
        <v>1</v>
      </c>
      <c r="F48" s="334">
        <v>2775</v>
      </c>
    </row>
    <row r="49" spans="1:6">
      <c r="A49" s="348" t="s">
        <v>32</v>
      </c>
      <c r="B49" s="348" t="s">
        <v>40</v>
      </c>
      <c r="C49" s="334">
        <v>0</v>
      </c>
      <c r="D49" s="334">
        <v>0</v>
      </c>
      <c r="E49" s="334">
        <v>0</v>
      </c>
      <c r="F49" s="334">
        <v>0</v>
      </c>
    </row>
    <row r="50" spans="1:6">
      <c r="A50" s="348" t="s">
        <v>32</v>
      </c>
      <c r="B50" s="348" t="s">
        <v>41</v>
      </c>
      <c r="C50" s="334">
        <v>0</v>
      </c>
      <c r="D50" s="334">
        <v>0</v>
      </c>
      <c r="E50" s="334">
        <v>6</v>
      </c>
      <c r="F50" s="334">
        <v>185330</v>
      </c>
    </row>
    <row r="51" spans="1:6">
      <c r="A51" s="348" t="s">
        <v>42</v>
      </c>
      <c r="B51" s="348" t="s">
        <v>43</v>
      </c>
      <c r="C51" s="334">
        <v>8</v>
      </c>
      <c r="D51" s="334">
        <v>4225912</v>
      </c>
      <c r="E51" s="334">
        <v>136</v>
      </c>
      <c r="F51" s="334">
        <v>3547947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72</v>
      </c>
      <c r="F54" s="334">
        <v>621485</v>
      </c>
    </row>
    <row r="55" spans="1:6">
      <c r="A55" s="348" t="s">
        <v>46</v>
      </c>
      <c r="B55" s="348" t="s">
        <v>29</v>
      </c>
      <c r="C55" s="334">
        <v>0</v>
      </c>
      <c r="D55" s="334">
        <v>0</v>
      </c>
      <c r="E55" s="334">
        <v>0</v>
      </c>
      <c r="F55" s="334">
        <v>0</v>
      </c>
    </row>
    <row r="56" spans="1:6">
      <c r="A56" s="348" t="s">
        <v>48</v>
      </c>
      <c r="B56" s="348" t="s">
        <v>29</v>
      </c>
      <c r="C56" s="334">
        <v>22</v>
      </c>
      <c r="D56" s="334">
        <v>749028</v>
      </c>
      <c r="E56" s="334">
        <v>75</v>
      </c>
      <c r="F56" s="334">
        <v>517772</v>
      </c>
    </row>
    <row r="57" spans="1:6">
      <c r="A57" s="348" t="s">
        <v>49</v>
      </c>
      <c r="B57" s="348" t="s">
        <v>50</v>
      </c>
      <c r="C57" s="334">
        <v>11</v>
      </c>
      <c r="D57" s="334">
        <v>231281</v>
      </c>
      <c r="E57" s="334">
        <v>61</v>
      </c>
      <c r="F57" s="334">
        <v>1294038</v>
      </c>
    </row>
    <row r="58" spans="1:6">
      <c r="A58" s="348" t="s">
        <v>49</v>
      </c>
      <c r="B58" s="348" t="s">
        <v>51</v>
      </c>
      <c r="C58" s="334">
        <v>4</v>
      </c>
      <c r="D58" s="334">
        <v>107019</v>
      </c>
      <c r="E58" s="334">
        <v>17</v>
      </c>
      <c r="F58" s="334">
        <v>625229</v>
      </c>
    </row>
    <row r="59" spans="1:6">
      <c r="A59" s="348" t="s">
        <v>49</v>
      </c>
      <c r="B59" s="348" t="s">
        <v>52</v>
      </c>
      <c r="C59" s="334">
        <v>37</v>
      </c>
      <c r="D59" s="334">
        <v>1193755</v>
      </c>
      <c r="E59" s="334">
        <v>132</v>
      </c>
      <c r="F59" s="334">
        <v>3223997</v>
      </c>
    </row>
    <row r="60" spans="1:6">
      <c r="A60" s="348" t="s">
        <v>49</v>
      </c>
      <c r="B60" s="348" t="s">
        <v>53</v>
      </c>
      <c r="C60" s="334">
        <v>18</v>
      </c>
      <c r="D60" s="334">
        <v>1730709</v>
      </c>
      <c r="E60" s="334">
        <v>39</v>
      </c>
      <c r="F60" s="334">
        <v>1145775</v>
      </c>
    </row>
    <row r="61" spans="1:6">
      <c r="A61" s="348" t="s">
        <v>49</v>
      </c>
      <c r="B61" s="348" t="s">
        <v>54</v>
      </c>
      <c r="C61" s="334">
        <v>31</v>
      </c>
      <c r="D61" s="334">
        <v>990853</v>
      </c>
      <c r="E61" s="334">
        <v>166</v>
      </c>
      <c r="F61" s="334">
        <v>1972441</v>
      </c>
    </row>
    <row r="62" spans="1:6">
      <c r="A62" s="348" t="s">
        <v>49</v>
      </c>
      <c r="B62" s="348" t="s">
        <v>55</v>
      </c>
      <c r="C62" s="334">
        <v>6</v>
      </c>
      <c r="D62" s="334">
        <v>670580</v>
      </c>
      <c r="E62" s="334">
        <v>13</v>
      </c>
      <c r="F62" s="334">
        <v>148727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25292</v>
      </c>
      <c r="E65" s="334">
        <v>2</v>
      </c>
      <c r="F65" s="334">
        <v>338220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139985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52779491</v>
      </c>
      <c r="E73" s="477">
        <v>54721714.208241783</v>
      </c>
    </row>
    <row r="74" spans="1:6">
      <c r="A74" s="348" t="s">
        <v>64</v>
      </c>
      <c r="B74" s="348" t="s">
        <v>714</v>
      </c>
      <c r="C74" s="1288" t="s">
        <v>716</v>
      </c>
      <c r="D74" s="477">
        <v>4661821.1181544513</v>
      </c>
      <c r="E74" s="477">
        <v>4894688.4655794874</v>
      </c>
    </row>
    <row r="75" spans="1:6">
      <c r="A75" s="348" t="s">
        <v>65</v>
      </c>
      <c r="B75" s="348" t="s">
        <v>713</v>
      </c>
      <c r="C75" s="1288" t="s">
        <v>717</v>
      </c>
      <c r="D75" s="477">
        <v>11795317</v>
      </c>
      <c r="E75" s="477">
        <v>12229386.908470808</v>
      </c>
    </row>
    <row r="76" spans="1:6">
      <c r="A76" s="348" t="s">
        <v>65</v>
      </c>
      <c r="B76" s="348" t="s">
        <v>714</v>
      </c>
      <c r="C76" s="1288" t="s">
        <v>718</v>
      </c>
      <c r="D76" s="477">
        <v>220257.11815445111</v>
      </c>
      <c r="E76" s="477">
        <v>235713.25685383991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128249.7636910978</v>
      </c>
      <c r="C83" s="477">
        <v>126063.50382183086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5148.596379379157</v>
      </c>
    </row>
    <row r="92" spans="1:6">
      <c r="A92" s="341" t="s">
        <v>69</v>
      </c>
      <c r="B92" s="342">
        <v>3508.7251869568804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313</v>
      </c>
    </row>
    <row r="98" spans="1:6">
      <c r="A98" s="348" t="s">
        <v>72</v>
      </c>
      <c r="B98" s="334">
        <v>4</v>
      </c>
    </row>
    <row r="99" spans="1:6">
      <c r="A99" s="348" t="s">
        <v>73</v>
      </c>
      <c r="B99" s="334">
        <v>69</v>
      </c>
    </row>
    <row r="100" spans="1:6">
      <c r="A100" s="348" t="s">
        <v>74</v>
      </c>
      <c r="B100" s="334">
        <v>97</v>
      </c>
    </row>
    <row r="101" spans="1:6">
      <c r="A101" s="348" t="s">
        <v>75</v>
      </c>
      <c r="B101" s="334">
        <v>44</v>
      </c>
    </row>
    <row r="102" spans="1:6">
      <c r="A102" s="348" t="s">
        <v>76</v>
      </c>
      <c r="B102" s="334">
        <v>36</v>
      </c>
    </row>
    <row r="103" spans="1:6">
      <c r="A103" s="348" t="s">
        <v>77</v>
      </c>
      <c r="B103" s="334">
        <v>68</v>
      </c>
    </row>
    <row r="104" spans="1:6">
      <c r="A104" s="348" t="s">
        <v>78</v>
      </c>
      <c r="B104" s="334">
        <v>3494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220</v>
      </c>
    </row>
    <row r="130" spans="1:6">
      <c r="A130" s="348" t="s">
        <v>295</v>
      </c>
      <c r="B130" s="334">
        <v>2</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39697.739584189614</v>
      </c>
      <c r="C3" s="43" t="s">
        <v>170</v>
      </c>
      <c r="D3" s="43"/>
      <c r="E3" s="154"/>
      <c r="F3" s="43"/>
      <c r="G3" s="43"/>
      <c r="H3" s="43"/>
      <c r="I3" s="43"/>
      <c r="J3" s="43"/>
      <c r="K3" s="96"/>
    </row>
    <row r="4" spans="1:11">
      <c r="A4" s="384" t="s">
        <v>171</v>
      </c>
      <c r="B4" s="49">
        <f>IF(ISERROR('SEAP template'!B69),0,'SEAP template'!B69)</f>
        <v>8700.9715663360366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0.17256110306779024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621.48500000000001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621.48500000000001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0.17256110306779024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107.24413714008561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17639.416000000001</v>
      </c>
      <c r="C5" s="17">
        <f>IF(ISERROR('Eigen informatie GS &amp; warmtenet'!B57),0,'Eigen informatie GS &amp; warmtenet'!B57)</f>
        <v>0</v>
      </c>
      <c r="D5" s="30">
        <f>(SUM(HH_hh_gas_kWh,HH_rest_gas_kWh)/1000)*0.902</f>
        <v>25806.929874000001</v>
      </c>
      <c r="E5" s="17">
        <f>B46*B57</f>
        <v>3846.461098983898</v>
      </c>
      <c r="F5" s="17">
        <f>B51*B62</f>
        <v>53796.868395575759</v>
      </c>
      <c r="G5" s="18"/>
      <c r="H5" s="17"/>
      <c r="I5" s="17"/>
      <c r="J5" s="17">
        <f>B50*B61+C50*C61</f>
        <v>0</v>
      </c>
      <c r="K5" s="17"/>
      <c r="L5" s="17"/>
      <c r="M5" s="17"/>
      <c r="N5" s="17">
        <f>B48*B59+C48*C59</f>
        <v>9301.7168867019063</v>
      </c>
      <c r="O5" s="17">
        <f>B69*B70*B71</f>
        <v>356.44</v>
      </c>
      <c r="P5" s="17">
        <f>B77*B78*B79/1000-B77*B78*B79/1000/B80</f>
        <v>457.6</v>
      </c>
    </row>
    <row r="6" spans="1:16">
      <c r="A6" s="16" t="s">
        <v>631</v>
      </c>
      <c r="B6" s="844">
        <f>kWh_PV_kleiner_dan_10kW</f>
        <v>5148.596379379157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22788.012379379157</v>
      </c>
      <c r="C8" s="21">
        <f>C5</f>
        <v>0</v>
      </c>
      <c r="D8" s="21">
        <f>D5</f>
        <v>25806.929874000001</v>
      </c>
      <c r="E8" s="21">
        <f>E5</f>
        <v>3846.461098983898</v>
      </c>
      <c r="F8" s="21">
        <f>F5</f>
        <v>53796.868395575759</v>
      </c>
      <c r="G8" s="21"/>
      <c r="H8" s="21"/>
      <c r="I8" s="21"/>
      <c r="J8" s="21">
        <f>J5</f>
        <v>0</v>
      </c>
      <c r="K8" s="21"/>
      <c r="L8" s="21">
        <f>L5</f>
        <v>0</v>
      </c>
      <c r="M8" s="21">
        <f>M5</f>
        <v>0</v>
      </c>
      <c r="N8" s="21">
        <f>N5</f>
        <v>9301.7168867019063</v>
      </c>
      <c r="O8" s="21">
        <f>O5</f>
        <v>356.44</v>
      </c>
      <c r="P8" s="21">
        <f>P5</f>
        <v>457.6</v>
      </c>
    </row>
    <row r="9" spans="1:16">
      <c r="B9" s="19"/>
      <c r="C9" s="19"/>
      <c r="D9" s="258"/>
      <c r="E9" s="19"/>
      <c r="F9" s="19"/>
      <c r="G9" s="19"/>
      <c r="H9" s="19"/>
      <c r="I9" s="19"/>
      <c r="J9" s="19"/>
      <c r="K9" s="19"/>
      <c r="L9" s="19"/>
      <c r="M9" s="19"/>
      <c r="N9" s="19"/>
      <c r="O9" s="19"/>
      <c r="P9" s="19"/>
    </row>
    <row r="10" spans="1:16">
      <c r="A10" s="24" t="s">
        <v>214</v>
      </c>
      <c r="B10" s="25">
        <f ca="1">'EF ele_warmte'!B12</f>
        <v>0.17256110306779024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3932.3245529081264</v>
      </c>
      <c r="C12" s="23">
        <f ca="1">C10*C8</f>
        <v>0</v>
      </c>
      <c r="D12" s="23">
        <f>D8*D10</f>
        <v>5212.9998345480008</v>
      </c>
      <c r="E12" s="23">
        <f>E10*E8</f>
        <v>873.14666946934483</v>
      </c>
      <c r="F12" s="23">
        <f>F10*F8</f>
        <v>14363.763861618729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313</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32.857142857142854</v>
      </c>
      <c r="D20" s="229"/>
      <c r="E20" s="15"/>
    </row>
    <row r="21" spans="1:7">
      <c r="A21" s="171" t="s">
        <v>74</v>
      </c>
      <c r="B21" s="37">
        <f>aantalw2001_elektriciteit</f>
        <v>97</v>
      </c>
      <c r="C21" s="167">
        <f>IF(ISERROR(B21/SUM($B$20,$B$21,$B$22)*100),0,B21/SUM($B$20,$B$21,$B$22)*100)</f>
        <v>46.19047619047619</v>
      </c>
      <c r="D21" s="229"/>
      <c r="E21" s="15"/>
    </row>
    <row r="22" spans="1:7">
      <c r="A22" s="171" t="s">
        <v>75</v>
      </c>
      <c r="B22" s="37">
        <f>aantalw2001_hout</f>
        <v>44</v>
      </c>
      <c r="C22" s="167">
        <f>IF(ISERROR(B22/SUM($B$20,$B$21,$B$22)*100),0,B22/SUM($B$20,$B$21,$B$22)*100)</f>
        <v>20.952380952380953</v>
      </c>
      <c r="D22" s="229"/>
      <c r="E22" s="15"/>
    </row>
    <row r="23" spans="1:7">
      <c r="A23" s="171" t="s">
        <v>76</v>
      </c>
      <c r="B23" s="37">
        <f>aantalw2001_niet_gespec</f>
        <v>36</v>
      </c>
      <c r="C23" s="166" t="s">
        <v>111</v>
      </c>
      <c r="D23" s="228"/>
      <c r="E23" s="15"/>
    </row>
    <row r="24" spans="1:7">
      <c r="A24" s="171" t="s">
        <v>77</v>
      </c>
      <c r="B24" s="37">
        <f>aantalw2001_steenkool</f>
        <v>68</v>
      </c>
      <c r="C24" s="166" t="s">
        <v>111</v>
      </c>
      <c r="D24" s="229"/>
      <c r="E24" s="15"/>
    </row>
    <row r="25" spans="1:7">
      <c r="A25" s="171" t="s">
        <v>78</v>
      </c>
      <c r="B25" s="37">
        <f>aantalw2001_stookolie</f>
        <v>3494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4761</v>
      </c>
      <c r="C28" s="36"/>
      <c r="D28" s="228"/>
    </row>
    <row r="29" spans="1:7" s="15" customFormat="1">
      <c r="A29" s="230" t="s">
        <v>741</v>
      </c>
      <c r="B29" s="37">
        <f>SUM(HH_hh_gas_aantal,HH_rest_gas_aantal)</f>
        <v>1767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1767</v>
      </c>
      <c r="C32" s="167">
        <f>IF(ISERROR(B32/SUM($B$32,$B$34,$B$35,$B$36,$B$38,$B$39)*100),0,B32/SUM($B$32,$B$34,$B$35,$B$36,$B$38,$B$39)*100)</f>
        <v>37.302089930335654</v>
      </c>
      <c r="D32" s="233"/>
      <c r="G32" s="15"/>
    </row>
    <row r="33" spans="1:7">
      <c r="A33" s="171" t="s">
        <v>72</v>
      </c>
      <c r="B33" s="34" t="s">
        <v>111</v>
      </c>
      <c r="C33" s="167"/>
      <c r="D33" s="233"/>
      <c r="G33" s="15"/>
    </row>
    <row r="34" spans="1:7">
      <c r="A34" s="171" t="s">
        <v>73</v>
      </c>
      <c r="B34" s="33">
        <f>IF((($B$28-$B$32-$B$39-$B$77-$B$38)*C20/100)&lt;0,0,($B$28-$B$32-$B$39-$B$77-$B$38)*C20/100)</f>
        <v>257.79714285714294</v>
      </c>
      <c r="C34" s="167">
        <f>IF(ISERROR(B34/SUM($B$32,$B$34,$B$35,$B$36,$B$38,$B$39)*100),0,B34/SUM($B$32,$B$34,$B$35,$B$36,$B$38,$B$39)*100)</f>
        <v>5.4422027202267884</v>
      </c>
      <c r="D34" s="233"/>
      <c r="G34" s="15"/>
    </row>
    <row r="35" spans="1:7">
      <c r="A35" s="171" t="s">
        <v>74</v>
      </c>
      <c r="B35" s="33">
        <f>IF((($B$28-$B$32-$B$39-$B$77-$B$38)*C21/100)&lt;0,0,($B$28-$B$32-$B$39-$B$77-$B$38)*C21/100)</f>
        <v>362.41047619047634</v>
      </c>
      <c r="C35" s="167">
        <f>IF(ISERROR(B35/SUM($B$32,$B$34,$B$35,$B$36,$B$38,$B$39)*100),0,B35/SUM($B$32,$B$34,$B$35,$B$36,$B$38,$B$39)*100)</f>
        <v>7.6506328095941809</v>
      </c>
      <c r="D35" s="233"/>
      <c r="G35" s="15"/>
    </row>
    <row r="36" spans="1:7">
      <c r="A36" s="171" t="s">
        <v>75</v>
      </c>
      <c r="B36" s="33">
        <f>IF((($B$28-$B$32-$B$39-$B$77-$B$38)*C22/100)&lt;0,0,($B$28-$B$32-$B$39-$B$77-$B$38)*C22/100)</f>
        <v>164.39238095238102</v>
      </c>
      <c r="C36" s="167">
        <f>IF(ISERROR(B36/SUM($B$32,$B$34,$B$35,$B$36,$B$38,$B$39)*100),0,B36/SUM($B$32,$B$34,$B$35,$B$36,$B$38,$B$39)*100)</f>
        <v>3.4703901404344735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2185.3999999999996</v>
      </c>
      <c r="C39" s="167">
        <f>IF(ISERROR(B39/SUM($B$32,$B$34,$B$35,$B$36,$B$38,$B$39)*100),0,B39/SUM($B$32,$B$34,$B$35,$B$36,$B$38,$B$39)*100)</f>
        <v>46.134684399408897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1767</v>
      </c>
      <c r="C44" s="34" t="s">
        <v>111</v>
      </c>
      <c r="D44" s="174"/>
    </row>
    <row r="45" spans="1:7">
      <c r="A45" s="171" t="s">
        <v>72</v>
      </c>
      <c r="B45" s="33" t="str">
        <f t="shared" si="0"/>
        <v>-</v>
      </c>
      <c r="C45" s="34" t="s">
        <v>111</v>
      </c>
      <c r="D45" s="174"/>
    </row>
    <row r="46" spans="1:7">
      <c r="A46" s="171" t="s">
        <v>73</v>
      </c>
      <c r="B46" s="33">
        <f t="shared" si="0"/>
        <v>257.79714285714294</v>
      </c>
      <c r="C46" s="34" t="s">
        <v>111</v>
      </c>
      <c r="D46" s="174"/>
    </row>
    <row r="47" spans="1:7">
      <c r="A47" s="171" t="s">
        <v>74</v>
      </c>
      <c r="B47" s="33">
        <f t="shared" si="0"/>
        <v>362.41047619047634</v>
      </c>
      <c r="C47" s="34" t="s">
        <v>111</v>
      </c>
      <c r="D47" s="174"/>
    </row>
    <row r="48" spans="1:7">
      <c r="A48" s="171" t="s">
        <v>75</v>
      </c>
      <c r="B48" s="33">
        <f t="shared" si="0"/>
        <v>164.39238095238102</v>
      </c>
      <c r="C48" s="33">
        <f>B48*10</f>
        <v>1643.9238095238102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2185.3999999999996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8410.2070000000003</v>
      </c>
      <c r="C5" s="17">
        <f>IF(ISERROR('Eigen informatie GS &amp; warmtenet'!B58),0,'Eigen informatie GS &amp; warmtenet'!B58)</f>
        <v>0</v>
      </c>
      <c r="D5" s="30">
        <f>SUM(D6:D12)</f>
        <v>4441.6256940000003</v>
      </c>
      <c r="E5" s="17">
        <f>SUM(E6:E12)</f>
        <v>93.474564602914754</v>
      </c>
      <c r="F5" s="17">
        <f>SUM(F6:F12)</f>
        <v>1290.7766892897157</v>
      </c>
      <c r="G5" s="18"/>
      <c r="H5" s="17"/>
      <c r="I5" s="17"/>
      <c r="J5" s="17">
        <f>SUM(J6:J12)</f>
        <v>0</v>
      </c>
      <c r="K5" s="17"/>
      <c r="L5" s="17"/>
      <c r="M5" s="17"/>
      <c r="N5" s="17">
        <f>SUM(N6:N12)</f>
        <v>962.91709262059749</v>
      </c>
      <c r="O5" s="17">
        <f>B38*B39*B40</f>
        <v>3.1266666666666669</v>
      </c>
      <c r="P5" s="17">
        <f>B46*B47*B48/1000-B46*B47*B48/1000/B49</f>
        <v>19.066666666666666</v>
      </c>
      <c r="R5" s="32"/>
    </row>
    <row r="6" spans="1:18">
      <c r="A6" s="32" t="s">
        <v>54</v>
      </c>
      <c r="B6" s="37">
        <f>B26</f>
        <v>1972.441</v>
      </c>
      <c r="C6" s="33"/>
      <c r="D6" s="37">
        <f>IF(ISERROR(TER_kantoor_gas_kWh/1000),0,TER_kantoor_gas_kWh/1000)*0.902</f>
        <v>893.74940600000002</v>
      </c>
      <c r="E6" s="33">
        <f>$C$26*'E Balans VL '!I12/100/3.6*1000000</f>
        <v>5.7144509751292132</v>
      </c>
      <c r="F6" s="33">
        <f>$C$26*('E Balans VL '!L12+'E Balans VL '!N12)/100/3.6*1000000</f>
        <v>223.23686495550552</v>
      </c>
      <c r="G6" s="34"/>
      <c r="H6" s="33"/>
      <c r="I6" s="33"/>
      <c r="J6" s="33">
        <f>$C$26*('E Balans VL '!D12+'E Balans VL '!E12)/100/3.6*1000000</f>
        <v>0</v>
      </c>
      <c r="K6" s="33"/>
      <c r="L6" s="33"/>
      <c r="M6" s="33"/>
      <c r="N6" s="33">
        <f>$C$26*'E Balans VL '!Y12/100/3.6*1000000</f>
        <v>19.742681050580497</v>
      </c>
      <c r="O6" s="33"/>
      <c r="P6" s="33"/>
      <c r="R6" s="32"/>
    </row>
    <row r="7" spans="1:18">
      <c r="A7" s="32" t="s">
        <v>53</v>
      </c>
      <c r="B7" s="37">
        <f t="shared" ref="B7:B12" si="0">B27</f>
        <v>1145.7750000000001</v>
      </c>
      <c r="C7" s="33"/>
      <c r="D7" s="37">
        <f>IF(ISERROR(TER_horeca_gas_kWh/1000),0,TER_horeca_gas_kWh/1000)*0.902</f>
        <v>1561.099518</v>
      </c>
      <c r="E7" s="33">
        <f>$C$27*'E Balans VL '!I9/100/3.6*1000000</f>
        <v>48.096433267918627</v>
      </c>
      <c r="F7" s="33">
        <f>$C$27*('E Balans VL '!L9+'E Balans VL '!N9)/100/3.6*1000000</f>
        <v>246.19325507932862</v>
      </c>
      <c r="G7" s="34"/>
      <c r="H7" s="33"/>
      <c r="I7" s="33"/>
      <c r="J7" s="33">
        <f>$C$27*('E Balans VL '!D9+'E Balans VL '!E9)/100/3.6*1000000</f>
        <v>0</v>
      </c>
      <c r="K7" s="33"/>
      <c r="L7" s="33"/>
      <c r="M7" s="33"/>
      <c r="N7" s="33">
        <f>$C$27*'E Balans VL '!Y9/100/3.6*1000000</f>
        <v>0.29525619733412034</v>
      </c>
      <c r="O7" s="33"/>
      <c r="P7" s="33"/>
      <c r="R7" s="32"/>
    </row>
    <row r="8" spans="1:18">
      <c r="A8" s="6" t="s">
        <v>52</v>
      </c>
      <c r="B8" s="37">
        <f t="shared" si="0"/>
        <v>3223.9969999999998</v>
      </c>
      <c r="C8" s="33"/>
      <c r="D8" s="37">
        <f>IF(ISERROR(TER_handel_gas_kWh/1000),0,TER_handel_gas_kWh/1000)*0.902</f>
        <v>1076.76701</v>
      </c>
      <c r="E8" s="33">
        <f>$C$28*'E Balans VL '!I13/100/3.6*1000000</f>
        <v>34.628411036427266</v>
      </c>
      <c r="F8" s="33">
        <f>$C$28*('E Balans VL '!L13+'E Balans VL '!N13)/100/3.6*1000000</f>
        <v>417.37303486839386</v>
      </c>
      <c r="G8" s="34"/>
      <c r="H8" s="33"/>
      <c r="I8" s="33"/>
      <c r="J8" s="33">
        <f>$C$28*('E Balans VL '!D13+'E Balans VL '!E13)/100/3.6*1000000</f>
        <v>0</v>
      </c>
      <c r="K8" s="33"/>
      <c r="L8" s="33"/>
      <c r="M8" s="33"/>
      <c r="N8" s="33">
        <f>$C$28*'E Balans VL '!Y13/100/3.6*1000000</f>
        <v>26.153239701890246</v>
      </c>
      <c r="O8" s="33"/>
      <c r="P8" s="33"/>
      <c r="R8" s="32"/>
    </row>
    <row r="9" spans="1:18">
      <c r="A9" s="32" t="s">
        <v>51</v>
      </c>
      <c r="B9" s="37">
        <f t="shared" si="0"/>
        <v>625.22900000000004</v>
      </c>
      <c r="C9" s="33"/>
      <c r="D9" s="37">
        <f>IF(ISERROR(TER_gezond_gas_kWh/1000),0,TER_gezond_gas_kWh/1000)*0.902</f>
        <v>96.531138000000013</v>
      </c>
      <c r="E9" s="33">
        <f>$C$29*'E Balans VL '!I10/100/3.6*1000000</f>
        <v>0.49772272272833445</v>
      </c>
      <c r="F9" s="33">
        <f>$C$29*('E Balans VL '!L10+'E Balans VL '!N10)/100/3.6*1000000</f>
        <v>76.005620322869689</v>
      </c>
      <c r="G9" s="34"/>
      <c r="H9" s="33"/>
      <c r="I9" s="33"/>
      <c r="J9" s="33">
        <f>$C$29*('E Balans VL '!D10+'E Balans VL '!E10)/100/3.6*1000000</f>
        <v>0</v>
      </c>
      <c r="K9" s="33"/>
      <c r="L9" s="33"/>
      <c r="M9" s="33"/>
      <c r="N9" s="33">
        <f>$C$29*'E Balans VL '!Y10/100/3.6*1000000</f>
        <v>5.0504342184598441</v>
      </c>
      <c r="O9" s="33"/>
      <c r="P9" s="33"/>
      <c r="R9" s="32"/>
    </row>
    <row r="10" spans="1:18">
      <c r="A10" s="32" t="s">
        <v>50</v>
      </c>
      <c r="B10" s="37">
        <f t="shared" si="0"/>
        <v>1294.038</v>
      </c>
      <c r="C10" s="33"/>
      <c r="D10" s="37">
        <f>IF(ISERROR(TER_ander_gas_kWh/1000),0,TER_ander_gas_kWh/1000)*0.902</f>
        <v>208.61546200000001</v>
      </c>
      <c r="E10" s="33">
        <f>$C$30*'E Balans VL '!I14/100/3.6*1000000</f>
        <v>4.4347362060424329</v>
      </c>
      <c r="F10" s="33">
        <f>$C$30*('E Balans VL '!L14+'E Balans VL '!N14)/100/3.6*1000000</f>
        <v>289.03550568983354</v>
      </c>
      <c r="G10" s="34"/>
      <c r="H10" s="33"/>
      <c r="I10" s="33"/>
      <c r="J10" s="33">
        <f>$C$30*('E Balans VL '!D14+'E Balans VL '!E14)/100/3.6*1000000</f>
        <v>0</v>
      </c>
      <c r="K10" s="33"/>
      <c r="L10" s="33"/>
      <c r="M10" s="33"/>
      <c r="N10" s="33">
        <f>$C$30*'E Balans VL '!Y14/100/3.6*1000000</f>
        <v>911.52743639141045</v>
      </c>
      <c r="O10" s="33"/>
      <c r="P10" s="33"/>
      <c r="R10" s="32"/>
    </row>
    <row r="11" spans="1:18">
      <c r="A11" s="32" t="s">
        <v>55</v>
      </c>
      <c r="B11" s="37">
        <f t="shared" si="0"/>
        <v>148.727</v>
      </c>
      <c r="C11" s="33"/>
      <c r="D11" s="37">
        <f>IF(ISERROR(TER_onderwijs_gas_kWh/1000),0,TER_onderwijs_gas_kWh/1000)*0.902</f>
        <v>604.86316000000011</v>
      </c>
      <c r="E11" s="33">
        <f>$C$31*'E Balans VL '!I11/100/3.6*1000000</f>
        <v>0.10281039466888561</v>
      </c>
      <c r="F11" s="33">
        <f>$C$31*('E Balans VL '!L11+'E Balans VL '!N11)/100/3.6*1000000</f>
        <v>38.932408373784384</v>
      </c>
      <c r="G11" s="34"/>
      <c r="H11" s="33"/>
      <c r="I11" s="33"/>
      <c r="J11" s="33">
        <f>$C$31*('E Balans VL '!D11+'E Balans VL '!E11)/100/3.6*1000000</f>
        <v>0</v>
      </c>
      <c r="K11" s="33"/>
      <c r="L11" s="33"/>
      <c r="M11" s="33"/>
      <c r="N11" s="33">
        <f>$C$31*'E Balans VL '!Y11/100/3.6*1000000</f>
        <v>0.1480450609223157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8410.2070000000003</v>
      </c>
      <c r="C16" s="21">
        <f t="shared" ca="1" si="1"/>
        <v>0</v>
      </c>
      <c r="D16" s="21">
        <f t="shared" ca="1" si="1"/>
        <v>4441.6256940000003</v>
      </c>
      <c r="E16" s="21">
        <f t="shared" si="1"/>
        <v>93.474564602914754</v>
      </c>
      <c r="F16" s="21">
        <f t="shared" ca="1" si="1"/>
        <v>1290.7766892897157</v>
      </c>
      <c r="G16" s="21">
        <f t="shared" si="1"/>
        <v>0</v>
      </c>
      <c r="H16" s="21">
        <f t="shared" si="1"/>
        <v>0</v>
      </c>
      <c r="I16" s="21">
        <f t="shared" si="1"/>
        <v>0</v>
      </c>
      <c r="J16" s="21">
        <f t="shared" si="1"/>
        <v>0</v>
      </c>
      <c r="K16" s="21">
        <f t="shared" si="1"/>
        <v>0</v>
      </c>
      <c r="L16" s="21">
        <f t="shared" ca="1" si="1"/>
        <v>0</v>
      </c>
      <c r="M16" s="21">
        <f t="shared" si="1"/>
        <v>0</v>
      </c>
      <c r="N16" s="21">
        <f t="shared" ca="1" si="1"/>
        <v>962.91709262059749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0.17256110306779024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1451.2745969484511</v>
      </c>
      <c r="C20" s="23">
        <f t="shared" ref="C20:P20" ca="1" si="2">C16*C18</f>
        <v>0</v>
      </c>
      <c r="D20" s="23">
        <f t="shared" ca="1" si="2"/>
        <v>897.20839018800007</v>
      </c>
      <c r="E20" s="23">
        <f t="shared" si="2"/>
        <v>21.21872616486165</v>
      </c>
      <c r="F20" s="23">
        <f t="shared" ca="1" si="2"/>
        <v>344.63737604035413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1972.441</v>
      </c>
      <c r="C26" s="39">
        <f>IF(ISERROR(B26*3.6/1000000/'E Balans VL '!Z12*100),0,B26*3.6/1000000/'E Balans VL '!Z12*100)</f>
        <v>4.3326946935145987E-2</v>
      </c>
      <c r="D26" s="237" t="s">
        <v>692</v>
      </c>
      <c r="F26" s="6"/>
    </row>
    <row r="27" spans="1:18">
      <c r="A27" s="231" t="s">
        <v>53</v>
      </c>
      <c r="B27" s="33">
        <f>IF(ISERROR(TER_horeca_ele_kWh/1000),0,TER_horeca_ele_kWh/1000)</f>
        <v>1145.7750000000001</v>
      </c>
      <c r="C27" s="39">
        <f>IF(ISERROR(B27*3.6/1000000/'E Balans VL '!Z9*100),0,B27*3.6/1000000/'E Balans VL '!Z9*100)</f>
        <v>9.2074442470096954E-2</v>
      </c>
      <c r="D27" s="237" t="s">
        <v>692</v>
      </c>
      <c r="F27" s="6"/>
    </row>
    <row r="28" spans="1:18">
      <c r="A28" s="171" t="s">
        <v>52</v>
      </c>
      <c r="B28" s="33">
        <f>IF(ISERROR(TER_handel_ele_kWh/1000),0,TER_handel_ele_kWh/1000)</f>
        <v>3223.9969999999998</v>
      </c>
      <c r="C28" s="39">
        <f>IF(ISERROR(B28*3.6/1000000/'E Balans VL '!Z13*100),0,B28*3.6/1000000/'E Balans VL '!Z13*100)</f>
        <v>9.5331338958404552E-2</v>
      </c>
      <c r="D28" s="237" t="s">
        <v>692</v>
      </c>
      <c r="F28" s="6"/>
    </row>
    <row r="29" spans="1:18">
      <c r="A29" s="231" t="s">
        <v>51</v>
      </c>
      <c r="B29" s="33">
        <f>IF(ISERROR(TER_gezond_ele_kWh/1000),0,TER_gezond_ele_kWh/1000)</f>
        <v>625.22900000000004</v>
      </c>
      <c r="C29" s="39">
        <f>IF(ISERROR(B29*3.6/1000000/'E Balans VL '!Z10*100),0,B29*3.6/1000000/'E Balans VL '!Z10*100)</f>
        <v>7.0447166310140003E-2</v>
      </c>
      <c r="D29" s="237" t="s">
        <v>692</v>
      </c>
      <c r="F29" s="6"/>
    </row>
    <row r="30" spans="1:18">
      <c r="A30" s="231" t="s">
        <v>50</v>
      </c>
      <c r="B30" s="33">
        <f>IF(ISERROR(TER_ander_ele_kWh/1000),0,TER_ander_ele_kWh/1000)</f>
        <v>1294.038</v>
      </c>
      <c r="C30" s="39">
        <f>IF(ISERROR(B30*3.6/1000000/'E Balans VL '!Z14*100),0,B30*3.6/1000000/'E Balans VL '!Z14*100)</f>
        <v>9.78658818819578E-2</v>
      </c>
      <c r="D30" s="237" t="s">
        <v>692</v>
      </c>
      <c r="F30" s="6"/>
    </row>
    <row r="31" spans="1:18">
      <c r="A31" s="231" t="s">
        <v>55</v>
      </c>
      <c r="B31" s="33">
        <f>IF(ISERROR(TER_onderwijs_ele_kWh/1000),0,TER_onderwijs_ele_kWh/1000)</f>
        <v>148.727</v>
      </c>
      <c r="C31" s="39">
        <f>IF(ISERROR(B31*3.6/1000000/'E Balans VL '!Z11*100),0,B31*3.6/1000000/'E Balans VL '!Z11*100)</f>
        <v>3.0872272650914395E-2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4321.2379999999994</v>
      </c>
      <c r="C5" s="17">
        <f>IF(ISERROR('Eigen informatie GS &amp; warmtenet'!B59),0,'Eigen informatie GS &amp; warmtenet'!B59)</f>
        <v>0</v>
      </c>
      <c r="D5" s="30">
        <f>SUM(D6:D15)</f>
        <v>3300.2114420000003</v>
      </c>
      <c r="E5" s="17">
        <f>SUM(E6:E15)</f>
        <v>335.67968210776183</v>
      </c>
      <c r="F5" s="17">
        <f>SUM(F6:F15)</f>
        <v>1517.8439389378682</v>
      </c>
      <c r="G5" s="18"/>
      <c r="H5" s="17"/>
      <c r="I5" s="17"/>
      <c r="J5" s="17">
        <f>SUM(J6:J15)</f>
        <v>7.93582355233975</v>
      </c>
      <c r="K5" s="17"/>
      <c r="L5" s="17"/>
      <c r="M5" s="17"/>
      <c r="N5" s="17">
        <f>SUM(N6:N15)</f>
        <v>479.81614364742188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652.19399999999996</v>
      </c>
      <c r="C8" s="33"/>
      <c r="D8" s="37">
        <f>IF( ISERROR(IND_metaal_Gas_kWH/1000),0,IND_metaal_Gas_kWH/1000)*0.902</f>
        <v>403.96611200000001</v>
      </c>
      <c r="E8" s="33">
        <f>C30*'E Balans VL '!I18/100/3.6*1000000</f>
        <v>16.322133189902157</v>
      </c>
      <c r="F8" s="33">
        <f>C30*'E Balans VL '!L18/100/3.6*1000000+C30*'E Balans VL '!N18/100/3.6*1000000</f>
        <v>204.40084377979758</v>
      </c>
      <c r="G8" s="34"/>
      <c r="H8" s="33"/>
      <c r="I8" s="33"/>
      <c r="J8" s="40">
        <f>C30*'E Balans VL '!D18/100/3.6*1000000+C30*'E Balans VL '!E18/100/3.6*1000000</f>
        <v>0</v>
      </c>
      <c r="K8" s="33"/>
      <c r="L8" s="33"/>
      <c r="M8" s="33"/>
      <c r="N8" s="33">
        <f>C30*'E Balans VL '!Y18/100/3.6*1000000</f>
        <v>16.384805871025076</v>
      </c>
      <c r="O8" s="33"/>
      <c r="P8" s="33"/>
      <c r="R8" s="32"/>
    </row>
    <row r="9" spans="1:18">
      <c r="A9" s="6" t="s">
        <v>33</v>
      </c>
      <c r="B9" s="37">
        <f t="shared" si="0"/>
        <v>1128.174</v>
      </c>
      <c r="C9" s="33"/>
      <c r="D9" s="37">
        <f>IF( ISERROR(IND_andere_gas_kWh/1000),0,IND_andere_gas_kWh/1000)*0.902</f>
        <v>1068.091574</v>
      </c>
      <c r="E9" s="33">
        <f>C31*'E Balans VL '!I19/100/3.6*1000000</f>
        <v>310.20157788067007</v>
      </c>
      <c r="F9" s="33">
        <f>C31*'E Balans VL '!L19/100/3.6*1000000+C31*'E Balans VL '!N19/100/3.6*1000000</f>
        <v>889.19742837111482</v>
      </c>
      <c r="G9" s="34"/>
      <c r="H9" s="33"/>
      <c r="I9" s="33"/>
      <c r="J9" s="40">
        <f>C31*'E Balans VL '!D19/100/3.6*1000000+C31*'E Balans VL '!E19/100/3.6*1000000</f>
        <v>0</v>
      </c>
      <c r="K9" s="33"/>
      <c r="L9" s="33"/>
      <c r="M9" s="33"/>
      <c r="N9" s="33">
        <f>C31*'E Balans VL '!Y19/100/3.6*1000000</f>
        <v>365.21970261043936</v>
      </c>
      <c r="O9" s="33"/>
      <c r="P9" s="33"/>
      <c r="R9" s="32"/>
    </row>
    <row r="10" spans="1:18">
      <c r="A10" s="6" t="s">
        <v>41</v>
      </c>
      <c r="B10" s="37">
        <f t="shared" si="0"/>
        <v>185.33</v>
      </c>
      <c r="C10" s="33"/>
      <c r="D10" s="37">
        <f>IF( ISERROR(IND_voed_gas_kWh/1000),0,IND_voed_gas_kWh/1000)*0.902</f>
        <v>0</v>
      </c>
      <c r="E10" s="33">
        <f>C32*'E Balans VL '!I20/100/3.6*1000000</f>
        <v>1.8893372511204216</v>
      </c>
      <c r="F10" s="33">
        <f>C32*'E Balans VL '!L20/100/3.6*1000000+C32*'E Balans VL '!N20/100/3.6*1000000</f>
        <v>350.08721087274171</v>
      </c>
      <c r="G10" s="34"/>
      <c r="H10" s="33"/>
      <c r="I10" s="33"/>
      <c r="J10" s="40">
        <f>C32*'E Balans VL '!D20/100/3.6*1000000+C32*'E Balans VL '!E20/100/3.6*1000000</f>
        <v>4.4355533025054257</v>
      </c>
      <c r="K10" s="33"/>
      <c r="L10" s="33"/>
      <c r="M10" s="33"/>
      <c r="N10" s="33">
        <f>C32*'E Balans VL '!Y20/100/3.6*1000000</f>
        <v>97.690257398305917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2352.7649999999999</v>
      </c>
      <c r="C12" s="33"/>
      <c r="D12" s="37">
        <f>IF( ISERROR(IND_min_gas_kWh/1000),0,IND_min_gas_kWh/1000)*0.902</f>
        <v>0</v>
      </c>
      <c r="E12" s="33">
        <f>C34*'E Balans VL '!I22/100/3.6*1000000</f>
        <v>7.1254609048518951</v>
      </c>
      <c r="F12" s="33">
        <f>C34*'E Balans VL '!L22/100/3.6*1000000+C34*'E Balans VL '!N22/100/3.6*1000000</f>
        <v>73.525929007017098</v>
      </c>
      <c r="G12" s="34"/>
      <c r="H12" s="33"/>
      <c r="I12" s="33"/>
      <c r="J12" s="40">
        <f>C34*'E Balans VL '!D22/100/3.6*1000000+C34*'E Balans VL '!E22/100/3.6*1000000</f>
        <v>3.4886282080829401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2.7749999999999999</v>
      </c>
      <c r="C15" s="33"/>
      <c r="D15" s="37">
        <f>IF( ISERROR(IND_rest_gas_kWh/1000),0,IND_rest_gas_kWh/1000)*0.902</f>
        <v>1828.1537560000002</v>
      </c>
      <c r="E15" s="33">
        <f>C37*'E Balans VL '!I15/100/3.6*1000000</f>
        <v>0.14117288121729424</v>
      </c>
      <c r="F15" s="33">
        <f>C37*'E Balans VL '!L15/100/3.6*1000000+C37*'E Balans VL '!N15/100/3.6*1000000</f>
        <v>0.63252690719685678</v>
      </c>
      <c r="G15" s="34"/>
      <c r="H15" s="33"/>
      <c r="I15" s="33"/>
      <c r="J15" s="40">
        <f>C37*'E Balans VL '!D15/100/3.6*1000000+C37*'E Balans VL '!E15/100/3.6*1000000</f>
        <v>1.1642041751384924E-2</v>
      </c>
      <c r="K15" s="33"/>
      <c r="L15" s="33"/>
      <c r="M15" s="33"/>
      <c r="N15" s="33">
        <f>C37*'E Balans VL '!Y15/100/3.6*1000000</f>
        <v>0.52137776765150856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4321.2379999999994</v>
      </c>
      <c r="C18" s="21">
        <f>C5+C16</f>
        <v>0</v>
      </c>
      <c r="D18" s="21">
        <f>MAX((D5+D16),0)</f>
        <v>3300.2114420000003</v>
      </c>
      <c r="E18" s="21">
        <f>MAX((E5+E16),0)</f>
        <v>335.67968210776183</v>
      </c>
      <c r="F18" s="21">
        <f>MAX((F5+F16),0)</f>
        <v>1517.8439389378682</v>
      </c>
      <c r="G18" s="21"/>
      <c r="H18" s="21"/>
      <c r="I18" s="21"/>
      <c r="J18" s="21">
        <f>MAX((J5+J16),0)</f>
        <v>7.93582355233975</v>
      </c>
      <c r="K18" s="21"/>
      <c r="L18" s="21">
        <f>MAX((L5+L16),0)</f>
        <v>0</v>
      </c>
      <c r="M18" s="21"/>
      <c r="N18" s="21">
        <f>MAX((N5+N16),0)</f>
        <v>479.81614364742188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0.17256110306779024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745.67759589845161</v>
      </c>
      <c r="C22" s="23">
        <f ca="1">C18*C20</f>
        <v>0</v>
      </c>
      <c r="D22" s="23">
        <f>D18*D20</f>
        <v>666.64271128400014</v>
      </c>
      <c r="E22" s="23">
        <f>E18*E20</f>
        <v>76.199287838461942</v>
      </c>
      <c r="F22" s="23">
        <f>F18*F20</f>
        <v>405.26433169641081</v>
      </c>
      <c r="G22" s="23"/>
      <c r="H22" s="23"/>
      <c r="I22" s="23"/>
      <c r="J22" s="23">
        <f>J18*J20</f>
        <v>2.8092815375282711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652.19399999999996</v>
      </c>
      <c r="C30" s="39">
        <f>IF(ISERROR(B30*3.6/1000000/'E Balans VL '!Z18*100),0,B30*3.6/1000000/'E Balans VL '!Z18*100)</f>
        <v>9.1285425394841177E-2</v>
      </c>
      <c r="D30" s="237" t="s">
        <v>692</v>
      </c>
    </row>
    <row r="31" spans="1:18">
      <c r="A31" s="6" t="s">
        <v>33</v>
      </c>
      <c r="B31" s="37">
        <f>IF( ISERROR(IND_ander_ele_kWh/1000),0,IND_ander_ele_kWh/1000)</f>
        <v>1128.174</v>
      </c>
      <c r="C31" s="39">
        <f>IF(ISERROR(B31*3.6/1000000/'E Balans VL '!Z19*100),0,B31*3.6/1000000/'E Balans VL '!Z19*100)</f>
        <v>4.9379992964175348E-2</v>
      </c>
      <c r="D31" s="237" t="s">
        <v>692</v>
      </c>
    </row>
    <row r="32" spans="1:18">
      <c r="A32" s="171" t="s">
        <v>41</v>
      </c>
      <c r="B32" s="37">
        <f>IF( ISERROR(IND_voed_ele_kWh/1000),0,IND_voed_ele_kWh/1000)</f>
        <v>185.33</v>
      </c>
      <c r="C32" s="39">
        <f>IF(ISERROR(B32*3.6/1000000/'E Balans VL '!Z20*100),0,B32*3.6/1000000/'E Balans VL '!Z20*100)</f>
        <v>4.5881553494273961E-2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2352.7649999999999</v>
      </c>
      <c r="C34" s="39">
        <f>IF(ISERROR(B34*3.6/1000000/'E Balans VL '!Z22*100),0,B34*3.6/1000000/'E Balans VL '!Z22*100)</f>
        <v>6.6761871934680417E-2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2.7749999999999999</v>
      </c>
      <c r="C37" s="39">
        <f>IF(ISERROR(B37*3.6/1000000/'E Balans VL '!Z15*100),0,B37*3.6/1000000/'E Balans VL '!Z15*100)</f>
        <v>2.0576149899895455E-5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3547.9470000000001</v>
      </c>
      <c r="C5" s="17">
        <f>'Eigen informatie GS &amp; warmtenet'!B60</f>
        <v>0</v>
      </c>
      <c r="D5" s="30">
        <f>IF(ISERROR(SUM(LB_lb_gas_kWh,LB_rest_gas_kWh,onbekend_gas_kWh)/1000),0,SUM(LB_lb_gas_kWh,LB_rest_gas_kWh,onbekend_gas_kWh)/1000)*0.902</f>
        <v>3811.7726240000002</v>
      </c>
      <c r="E5" s="17">
        <f>B17*'E Balans VL '!I25/3.6*1000000/100</f>
        <v>32.862571130801122</v>
      </c>
      <c r="F5" s="17">
        <f>B17*('E Balans VL '!L25/3.6*1000000+'E Balans VL '!N25/3.6*1000000)/100</f>
        <v>9001.8174222098969</v>
      </c>
      <c r="G5" s="18"/>
      <c r="H5" s="17"/>
      <c r="I5" s="17"/>
      <c r="J5" s="17">
        <f>('E Balans VL '!D25+'E Balans VL '!E25)/3.6*1000000*landbouw!B17/100</f>
        <v>543.93987030408243</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3547.9470000000001</v>
      </c>
      <c r="C8" s="21">
        <f>C5+C6</f>
        <v>62.357142857142847</v>
      </c>
      <c r="D8" s="21">
        <f>MAX((D5+D6),0)</f>
        <v>3811.7726240000002</v>
      </c>
      <c r="E8" s="21">
        <f>MAX((E5+E6),0)</f>
        <v>32.862571130801122</v>
      </c>
      <c r="F8" s="21">
        <f>MAX((F5+F6),0)</f>
        <v>9001.8174222098969</v>
      </c>
      <c r="G8" s="21"/>
      <c r="H8" s="21"/>
      <c r="I8" s="21"/>
      <c r="J8" s="21">
        <f>MAX((J5+J6),0)</f>
        <v>543.93987030408243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0.17256110306779024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612.23764794605722</v>
      </c>
      <c r="C12" s="23">
        <f ca="1">C8*C10</f>
        <v>0</v>
      </c>
      <c r="D12" s="23">
        <f>D8*D10</f>
        <v>769.97807004800006</v>
      </c>
      <c r="E12" s="23">
        <f>E8*E10</f>
        <v>7.4598036466918547</v>
      </c>
      <c r="F12" s="23">
        <f>F8*F10</f>
        <v>2403.4852517300428</v>
      </c>
      <c r="G12" s="23"/>
      <c r="H12" s="23"/>
      <c r="I12" s="23"/>
      <c r="J12" s="23">
        <f>J8*J10</f>
        <v>192.55471408764518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0.50444283392025446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605.26626407872186</v>
      </c>
      <c r="C26" s="247">
        <f>B26*'GWP N2O_CH4'!B5</f>
        <v>12710.591545653158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274.96952054656907</v>
      </c>
      <c r="C27" s="247">
        <f>B27*'GWP N2O_CH4'!B5</f>
        <v>5774.3599314779503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7.8571122467192964</v>
      </c>
      <c r="C28" s="247">
        <f>B28*'GWP N2O_CH4'!B4</f>
        <v>2435.7047964829817</v>
      </c>
      <c r="D28" s="50"/>
    </row>
    <row r="29" spans="1:4">
      <c r="A29" s="41" t="s">
        <v>277</v>
      </c>
      <c r="B29" s="247">
        <f>B34*'ha_N2O bodem landbouw'!B4</f>
        <v>19.92555931424403</v>
      </c>
      <c r="C29" s="247">
        <f>B29*'GWP N2O_CH4'!B4</f>
        <v>6176.9233874156489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4.4689519194222732E-3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3.186073731765334E-5</v>
      </c>
      <c r="C5" s="464" t="s">
        <v>211</v>
      </c>
      <c r="D5" s="449">
        <f>SUM(D6:D11)</f>
        <v>8.4045475639809994E-5</v>
      </c>
      <c r="E5" s="449">
        <f>SUM(E6:E11)</f>
        <v>5.3529958501009108E-4</v>
      </c>
      <c r="F5" s="462" t="s">
        <v>211</v>
      </c>
      <c r="G5" s="449">
        <f>SUM(G6:G11)</f>
        <v>0.15537734895078806</v>
      </c>
      <c r="H5" s="449">
        <f>SUM(H6:H11)</f>
        <v>3.1761740326531521E-2</v>
      </c>
      <c r="I5" s="464" t="s">
        <v>211</v>
      </c>
      <c r="J5" s="464" t="s">
        <v>211</v>
      </c>
      <c r="K5" s="464" t="s">
        <v>211</v>
      </c>
      <c r="L5" s="464" t="s">
        <v>211</v>
      </c>
      <c r="M5" s="449">
        <f>SUM(M6:M11)</f>
        <v>9.9656206150986349E-3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2.6041014299422286E-5</v>
      </c>
      <c r="C6" s="450"/>
      <c r="D6" s="963">
        <f>vkm_2011_GW_PW*SUMIFS(TableVerdeelsleutelVkm[CNG],TableVerdeelsleutelVkm[Voertuigtype],"Lichte voertuigen")*SUMIFS(TableECFTransport[EnergieConsumptieFactor (PJ per km)],TableECFTransport[Index],CONCATENATE($A6,"_CNG_CNG"))</f>
        <v>6.023573307147365E-5</v>
      </c>
      <c r="E6" s="963">
        <f>vkm_2011_GW_PW*SUMIFS(TableVerdeelsleutelVkm[LPG],TableVerdeelsleutelVkm[Voertuigtype],"Lichte voertuigen")*SUMIFS(TableECFTransport[EnergieConsumptieFactor (PJ per km)],TableECFTransport[Index],CONCATENATE($A6,"_LPG_LPG"))</f>
        <v>3.9221871842113292E-4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8.1480537012047063E-2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2.2967679538089942E-2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5.4203209865205295E-3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4.3489404157200436E-2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1.4872586417392158E-5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2.5161085396237228E-3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5.8197230182310543E-6</v>
      </c>
      <c r="C8" s="450"/>
      <c r="D8" s="452">
        <f>vkm_2011_NGW_PW*SUMIFS(TableVerdeelsleutelVkm[CNG],TableVerdeelsleutelVkm[Voertuigtype],"Lichte voertuigen")*SUMIFS(TableECFTransport[EnergieConsumptieFactor (PJ per km)],TableECFTransport[Index],CONCATENATE($A8,"_CNG_CNG"))</f>
        <v>2.3809742568336348E-5</v>
      </c>
      <c r="E8" s="452">
        <f>vkm_2011_NGW_PW*SUMIFS(TableVerdeelsleutelVkm[LPG],TableVerdeelsleutelVkm[Voertuigtype],"Lichte voertuigen")*SUMIFS(TableECFTransport[EnergieConsumptieFactor (PJ per km)],TableECFTransport[Index],CONCATENATE($A8,"_LPG_LPG"))</f>
        <v>1.4308086658895819E-4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2.7786094096550511E-2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8.7783399754505775E-3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1.8775347183158974E-3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2.6213136849900578E-3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8.4822657360610218E-7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1.5165637063848636E-4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8.8502048104592603</v>
      </c>
      <c r="C14" s="21"/>
      <c r="D14" s="21">
        <f t="shared" ref="D14:M14" si="0">((D5)*10^9/3600)+D12</f>
        <v>23.345965455502778</v>
      </c>
      <c r="E14" s="21">
        <f t="shared" si="0"/>
        <v>148.69432916946974</v>
      </c>
      <c r="F14" s="21"/>
      <c r="G14" s="21">
        <f t="shared" si="0"/>
        <v>43160.374708552234</v>
      </c>
      <c r="H14" s="21">
        <f t="shared" si="0"/>
        <v>8822.7056462587552</v>
      </c>
      <c r="I14" s="21"/>
      <c r="J14" s="21"/>
      <c r="K14" s="21"/>
      <c r="L14" s="21"/>
      <c r="M14" s="21">
        <f t="shared" si="0"/>
        <v>2768.2279486385096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0.17256110306779024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1.5272011044687135</v>
      </c>
      <c r="C18" s="23"/>
      <c r="D18" s="23">
        <f t="shared" ref="D18:M18" si="1">D14*D16</f>
        <v>4.7158850220115616</v>
      </c>
      <c r="E18" s="23">
        <f t="shared" si="1"/>
        <v>33.753612721469629</v>
      </c>
      <c r="F18" s="23"/>
      <c r="G18" s="23">
        <f t="shared" si="1"/>
        <v>11523.820047183446</v>
      </c>
      <c r="H18" s="23">
        <f t="shared" si="1"/>
        <v>2196.85370591843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1.634548088388115E-3</v>
      </c>
      <c r="H50" s="321">
        <f t="shared" si="2"/>
        <v>0</v>
      </c>
      <c r="I50" s="321">
        <f t="shared" si="2"/>
        <v>0</v>
      </c>
      <c r="J50" s="321">
        <f t="shared" si="2"/>
        <v>0</v>
      </c>
      <c r="K50" s="321">
        <f t="shared" si="2"/>
        <v>0</v>
      </c>
      <c r="L50" s="321">
        <f t="shared" si="2"/>
        <v>0</v>
      </c>
      <c r="M50" s="321">
        <f t="shared" si="2"/>
        <v>9.3213512515694344E-5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1.634548088388115E-3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9.3213512515694344E-5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454.04113566336525</v>
      </c>
      <c r="H54" s="21">
        <f t="shared" si="3"/>
        <v>0</v>
      </c>
      <c r="I54" s="21">
        <f t="shared" si="3"/>
        <v>0</v>
      </c>
      <c r="J54" s="21">
        <f t="shared" si="3"/>
        <v>0</v>
      </c>
      <c r="K54" s="21">
        <f t="shared" si="3"/>
        <v>0</v>
      </c>
      <c r="L54" s="21">
        <f t="shared" si="3"/>
        <v>0</v>
      </c>
      <c r="M54" s="21">
        <f t="shared" si="3"/>
        <v>25.89264236547065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0.17256110306779024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121.22898322211853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8657.321566336037</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8700.9715663360366</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72018</v>
      </c>
      <c r="C27" s="852">
        <v>3640</v>
      </c>
      <c r="D27" s="673" t="s">
        <v>871</v>
      </c>
      <c r="E27" s="672" t="s">
        <v>872</v>
      </c>
      <c r="F27" s="672" t="s">
        <v>873</v>
      </c>
      <c r="G27" s="672" t="s">
        <v>874</v>
      </c>
      <c r="H27" s="672" t="s">
        <v>875</v>
      </c>
      <c r="I27" s="672" t="s">
        <v>872</v>
      </c>
      <c r="J27" s="851">
        <v>41291</v>
      </c>
      <c r="K27" s="851">
        <v>41291</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2019-01-01T21:34:30Z</dcterms:modified>
</cp:coreProperties>
</file>