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7"/>
  <c r="J24" s="1"/>
  <c r="J15" i="14"/>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N12"/>
  <c r="J12"/>
  <c r="F12"/>
  <c r="E12"/>
  <c r="Q11" i="48"/>
  <c r="O5"/>
  <c r="R9" i="14"/>
  <c r="O28" i="48"/>
  <c r="H22"/>
  <c r="K31"/>
  <c r="M25"/>
  <c r="M24"/>
  <c r="I31"/>
  <c r="C50" i="13"/>
  <c r="J5" s="1"/>
  <c r="J8" s="1"/>
  <c r="C5" i="48"/>
  <c r="G14" i="22" l="1"/>
  <c r="G9" i="48"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K13" i="14" l="1"/>
  <c r="R13" s="1"/>
  <c r="R15" s="1"/>
  <c r="E31" i="48"/>
  <c r="F22" i="16"/>
  <c r="G39" i="14" s="1"/>
  <c r="G41" s="1"/>
  <c r="G53" s="1"/>
  <c r="G55" s="1"/>
  <c r="O69" s="1"/>
  <c r="B9" i="6" s="1"/>
  <c r="B12" s="1"/>
  <c r="J8" i="48"/>
  <c r="J25" s="1"/>
  <c r="J31" s="1"/>
  <c r="N25"/>
  <c r="N31" s="1"/>
  <c r="N14"/>
  <c r="K41" i="14"/>
  <c r="K53" s="1"/>
  <c r="E14" i="48"/>
  <c r="H55" i="14"/>
  <c r="E55"/>
  <c r="C78"/>
  <c r="C81" s="1"/>
  <c r="Q8" i="48"/>
  <c r="Q14" s="1"/>
  <c r="R19" i="14"/>
  <c r="R20" s="1"/>
  <c r="H14" i="48"/>
  <c r="G31"/>
  <c r="H26"/>
  <c r="H31" s="1"/>
  <c r="F55" i="14"/>
  <c r="O53"/>
  <c r="M53"/>
  <c r="M55" s="1"/>
  <c r="C12" i="13"/>
  <c r="D37" i="14" s="1"/>
  <c r="D41" s="1"/>
  <c r="C24" i="48"/>
  <c r="C28"/>
  <c r="C22"/>
  <c r="C25"/>
  <c r="C21"/>
  <c r="F25"/>
  <c r="F31" s="1"/>
  <c r="F14"/>
  <c r="K15" i="14" l="1"/>
  <c r="K23" s="1"/>
  <c r="K55" s="1"/>
  <c r="J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<sst xmlns="http://schemas.openxmlformats.org/spreadsheetml/2006/main" count="2137" uniqueCount="871">
  <si>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</si>
  <si>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</si>
  <si>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</si>
  <si>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</si>
  <si>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</si>
  <si>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</si>
  <si>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</si>
  <si>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</si>
  <si>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</si>
  <si>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</si>
  <si>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</si>
  <si>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</si>
  <si>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</si>
  <si>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</si>
  <si>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</si>
  <si>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</si>
  <si>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</si>
  <si>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</si>
  <si>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</si>
  <si>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</si>
  <si>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</si>
  <si>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</si>
  <si>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</si>
  <si>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</si>
  <si>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</si>
  <si>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</si>
  <si>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</si>
  <si>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</si>
  <si>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</si>
  <si>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</si>
  <si>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</si>
  <si>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</si>
  <si>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</si>
  <si>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</si>
  <si>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</si>
  <si>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</si>
  <si>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</si>
  <si>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</si>
  <si>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</si>
  <si>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</si>
  <si>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</si>
  <si>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</si>
  <si>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</si>
  <si>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</si>
  <si>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</si>
  <si>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</si>
  <si>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</si>
  <si>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</si>
  <si>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</si>
  <si>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</si>
  <si>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</si>
  <si>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</si>
  <si>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</si>
  <si>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</si>
  <si>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</si>
  <si>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</si>
  <si>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</si>
  <si>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</si>
  <si>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</si>
  <si>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</si>
  <si>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</si>
  <si>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</si>
  <si>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</si>
  <si>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</si>
  <si>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</si>
  <si>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</si>
  <si>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</si>
  <si>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</si>
  <si>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</si>
  <si>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</si>
  <si>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</si>
  <si>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</si>
  <si>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</si>
  <si>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</si>
  <si>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</si>
  <si>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</si>
  <si>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</si>
  <si>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</si>
  <si>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</si>
  <si>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</si>
  <si>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</si>
  <si>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</si>
  <si>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</si>
  <si>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</si>
  <si>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</si>
  <si>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</si>
  <si>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</si>
  <si>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</si>
  <si>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</si>
  <si>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</si>
  <si>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</si>
  <si>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</si>
  <si>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</si>
  <si>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</si>
  <si>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</si>
  <si>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</si>
  <si>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</si>
  <si>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</si>
  <si>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</si>
  <si>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</si>
  <si>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</si>
  <si>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</si>
  <si>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</si>
  <si>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</si>
  <si>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</si>
  <si>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</si>
  <si>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</si>
  <si>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</si>
  <si>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</si>
  <si>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</si>
  <si>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</si>
  <si>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</si>
  <si>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</si>
  <si>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</si>
  <si>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</si>
  <si>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</si>
  <si>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</si>
  <si>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</si>
  <si>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</si>
  <si>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</si>
  <si>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</si>
  <si>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</si>
  <si>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</si>
  <si>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</si>
  <si>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</si>
  <si>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</si>
  <si>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</si>
  <si>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</si>
  <si>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</si>
  <si>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</si>
  <si>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</si>
  <si>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</si>
  <si>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</si>
  <si>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</si>
  <si>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</si>
  <si>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</si>
  <si>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</si>
  <si>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</si>
  <si>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</si>
  <si>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</si>
  <si>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</si>
  <si>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</si>
  <si>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</si>
  <si>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</si>
  <si>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</si>
  <si>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</si>
  <si>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</si>
  <si>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</si>
  <si>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</si>
  <si>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</si>
  <si>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</si>
  <si>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</si>
  <si>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</si>
  <si>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</si>
  <si>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</si>
  <si>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</si>
  <si>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</si>
  <si>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</si>
  <si>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</si>
  <si>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</si>
  <si>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</si>
  <si>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</si>
  <si>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</si>
  <si>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</si>
  <si>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</si>
  <si>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</si>
  <si>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</si>
  <si>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</si>
  <si>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</si>
  <si>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</si>
  <si>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</si>
  <si>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</si>
  <si>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</si>
  <si>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</si>
  <si>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</si>
  <si>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</si>
  <si>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</si>
  <si>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</si>
  <si>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</si>
  <si>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</si>
  <si>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</si>
  <si>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</si>
  <si>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</si>
  <si>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</si>
  <si>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</si>
  <si>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</si>
  <si>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</si>
  <si>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</si>
  <si>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</si>
  <si>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</si>
  <si>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</si>
  <si>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</si>
  <si>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</si>
  <si>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</si>
  <si>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</si>
  <si>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</si>
  <si>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</si>
  <si>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</si>
  <si>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</si>
  <si>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</si>
  <si>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</si>
  <si>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</si>
  <si>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</si>
  <si>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</si>
  <si>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</si>
  <si>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</si>
  <si>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</si>
  <si>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</si>
  <si>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</si>
  <si>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</si>
  <si>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</si>
  <si>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</si>
  <si>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</si>
  <si>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</si>
  <si>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</si>
  <si>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</si>
  <si>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</si>
  <si>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</si>
  <si>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</si>
  <si>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</si>
  <si>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</si>
  <si>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</si>
  <si>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</si>
  <si>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</si>
  <si>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</si>
  <si>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</si>
  <si>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</si>
  <si>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</si>
  <si>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</si>
  <si>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</si>
  <si>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</si>
  <si>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</si>
  <si>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</si>
  <si>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</si>
  <si>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</si>
  <si>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</si>
  <si>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</si>
  <si>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</si>
  <si>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</si>
  <si>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</si>
  <si>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</si>
  <si>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</si>
  <si>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</si>
  <si>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</si>
  <si>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</si>
  <si>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</si>
  <si>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</si>
  <si>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</si>
  <si>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</si>
  <si>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</si>
  <si>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</si>
  <si>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</si>
  <si>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</si>
  <si>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</si>
  <si>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</si>
  <si>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</si>
  <si>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</si>
  <si>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</si>
  <si>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</si>
  <si>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</si>
  <si>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</si>
  <si>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</si>
  <si>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</si>
  <si>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</si>
  <si>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</si>
  <si>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</si>
  <si>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</si>
  <si>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</si>
  <si>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</si>
  <si>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</si>
  <si>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</si>
  <si>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</si>
  <si>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</si>
  <si>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</si>
  <si>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</si>
  <si>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</si>
  <si>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</si>
  <si>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</si>
  <si>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</si>
  <si>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</si>
  <si>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</si>
  <si>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</si>
  <si>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</si>
  <si>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</si>
  <si>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</si>
  <si>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</si>
  <si>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</si>
  <si>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</si>
  <si>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</si>
  <si>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</si>
  <si>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</si>
  <si>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</si>
  <si>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</si>
  <si>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</si>
  <si>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</si>
  <si>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</si>
  <si>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</si>
  <si>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</si>
  <si>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</si>
  <si>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</si>
  <si>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</si>
  <si>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</si>
  <si>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</si>
  <si>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</si>
  <si>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</si>
  <si>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</si>
  <si>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</si>
  <si>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</si>
  <si>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</si>
  <si>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</si>
  <si>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</si>
  <si>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</si>
  <si>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</si>
  <si>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</si>
  <si>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</si>
  <si>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</si>
  <si>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</si>
  <si>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</si>
  <si>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</si>
  <si>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</si>
  <si>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</si>
  <si>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</si>
  <si>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</si>
  <si>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</si>
  <si>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</si>
  <si>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</si>
  <si>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</si>
  <si>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</si>
  <si>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</si>
  <si>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</si>
  <si>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</si>
  <si>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</si>
  <si>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</si>
  <si>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</si>
  <si>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</si>
  <si>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</si>
  <si>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</si>
  <si>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</si>
  <si>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</si>
  <si>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</si>
  <si>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</si>
  <si>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</si>
  <si>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</si>
  <si>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</si>
  <si>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</si>
  <si>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</si>
  <si>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</si>
  <si>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</si>
  <si>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</si>
  <si>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</si>
  <si>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</si>
  <si>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</si>
  <si>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</si>
  <si>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</si>
  <si>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</si>
  <si>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</si>
  <si>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</si>
  <si>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</si>
  <si>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</si>
  <si>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</si>
  <si>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</si>
  <si>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</si>
  <si>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</si>
  <si>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</si>
  <si>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</si>
  <si>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</si>
  <si>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</si>
  <si>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</si>
  <si>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</si>
  <si>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</si>
  <si>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</si>
  <si>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</si>
  <si>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</si>
  <si>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</si>
  <si>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</si>
  <si>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</si>
  <si>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</si>
  <si>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</si>
  <si>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</si>
  <si>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</si>
  <si>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</si>
  <si>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</si>
  <si>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</si>
  <si>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</si>
  <si>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</si>
  <si>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</si>
  <si>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</si>
  <si>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</si>
  <si>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</si>
  <si>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</si>
  <si>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</si>
  <si>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</si>
  <si>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</si>
  <si>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</si>
  <si>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</si>
  <si>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</si>
  <si>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</si>
  <si>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</si>
  <si>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</si>
  <si>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</si>
  <si>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</si>
  <si>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</si>
  <si>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</si>
  <si>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</si>
  <si>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</si>
  <si>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</si>
  <si>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</si>
  <si>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</si>
  <si>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</si>
  <si>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</si>
  <si>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</si>
  <si>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</si>
  <si>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</si>
  <si>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</si>
  <si>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</si>
  <si>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</si>
  <si>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</si>
  <si>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</si>
  <si>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</si>
  <si>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</si>
  <si>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</si>
  <si>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</si>
  <si>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</si>
  <si>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</si>
  <si>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</si>
  <si>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</si>
  <si>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</si>
  <si>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</si>
  <si>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</si>
  <si>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</si>
  <si>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</si>
  <si>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</si>
  <si>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</si>
  <si>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</si>
  <si>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</si>
  <si>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</si>
  <si>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</si>
  <si>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</si>
  <si>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</si>
  <si>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</si>
  <si>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</si>
  <si>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</si>
  <si>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</si>
  <si>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</si>
  <si>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</si>
  <si>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</si>
  <si>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</si>
  <si>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</si>
  <si>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</si>
  <si>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</si>
  <si>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</si>
  <si>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</si>
  <si>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</si>
  <si>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</si>
  <si>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</si>
  <si>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</si>
  <si>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</si>
  <si>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</si>
  <si>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</si>
  <si>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</si>
  <si>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</si>
  <si>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</si>
  <si>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</si>
  <si>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</si>
  <si>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</si>
  <si>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</si>
  <si>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</si>
  <si>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</si>
  <si>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</si>
  <si>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</si>
  <si>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</si>
  <si>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</si>
  <si>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</si>
  <si>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</si>
  <si>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</si>
  <si>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</si>
  <si>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</si>
  <si>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</si>
  <si>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</si>
  <si>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</si>
  <si>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</si>
  <si>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</si>
  <si>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</si>
  <si>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</si>
  <si>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</si>
  <si>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</si>
  <si>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</si>
  <si>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</si>
  <si>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</si>
  <si>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</si>
  <si>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</si>
  <si>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</si>
  <si>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</si>
  <si>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</si>
  <si>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</si>
  <si>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</si>
  <si>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</si>
  <si>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</si>
  <si>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</si>
  <si>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</si>
  <si>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</si>
  <si>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</si>
  <si>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</si>
  <si>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</si>
  <si>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</si>
  <si>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</si>
  <si>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</si>
  <si>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</si>
  <si>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</si>
  <si>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</si>
  <si>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</si>
  <si>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</si>
  <si>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</si>
  <si>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</si>
  <si>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</si>
  <si>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</si>
  <si>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</si>
  <si>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</si>
  <si>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</si>
  <si>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</si>
  <si>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</si>
  <si>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</si>
  <si>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</si>
  <si>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</si>
  <si>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</si>
  <si>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</si>
  <si>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</si>
  <si>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</si>
  <si>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</si>
  <si>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</si>
  <si>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</si>
  <si>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</si>
  <si>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</si>
  <si>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</si>
  <si>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</si>
  <si>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</si>
  <si>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</si>
  <si>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</si>
  <si>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</si>
  <si>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</si>
  <si>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</si>
  <si>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</si>
  <si>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</si>
  <si>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</si>
  <si>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</si>
  <si>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</si>
  <si>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</si>
  <si>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</si>
  <si>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</si>
  <si>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</si>
  <si>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</si>
  <si>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</si>
  <si>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</si>
  <si>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</si>
  <si>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</si>
  <si>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</si>
  <si>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</si>
  <si>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</si>
  <si>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</si>
  <si>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</si>
  <si>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</si>
  <si>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</si>
  <si>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</si>
  <si>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</si>
  <si>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</si>
  <si>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</si>
  <si>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</si>
  <si>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</si>
  <si>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</si>
  <si>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</si>
  <si>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</si>
  <si>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</si>
  <si>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</si>
  <si>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</si>
  <si>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</si>
  <si>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</si>
  <si>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</si>
  <si>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</si>
  <si>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</si>
  <si>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</si>
  <si>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</si>
  <si>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</si>
  <si>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</si>
  <si>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</si>
  <si>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</si>
  <si>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</si>
  <si>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</si>
  <si>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</si>
  <si>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</si>
  <si>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</si>
  <si>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</si>
  <si>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</si>
  <si>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</si>
  <si>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</si>
  <si>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</si>
  <si>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</si>
  <si>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</si>
  <si>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</si>
  <si>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</si>
  <si>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</si>
  <si>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</si>
  <si>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</si>
  <si>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</si>
  <si>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</si>
  <si>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</si>
  <si>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</si>
  <si>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</si>
  <si>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</si>
  <si>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</si>
  <si>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</si>
  <si>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</si>
  <si>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</si>
  <si>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</si>
  <si>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</si>
  <si>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</si>
  <si>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</si>
  <si>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</si>
  <si>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</si>
  <si>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</si>
  <si>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</si>
  <si>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</si>
  <si>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</si>
  <si>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</si>
  <si>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</si>
  <si>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</si>
  <si>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</si>
  <si>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</si>
  <si>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</si>
  <si>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</si>
  <si>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</si>
  <si>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</si>
  <si>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</si>
  <si>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</si>
  <si>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</si>
  <si>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</si>
  <si>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</si>
  <si>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</si>
  <si>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</si>
  <si>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</si>
  <si>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</si>
  <si>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</si>
  <si>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</si>
  <si>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</si>
  <si>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</si>
  <si>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</si>
  <si>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</si>
  <si>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</si>
  <si>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</si>
  <si>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</si>
  <si>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</si>
  <si>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</si>
  <si>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</si>
  <si>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</si>
  <si>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</si>
  <si>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</si>
  <si>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</si>
  <si>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</si>
  <si>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</si>
  <si>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</si>
  <si>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</si>
  <si>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</si>
  <si>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</si>
  <si>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</si>
  <si>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</si>
  <si>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</si>
  <si>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</si>
  <si>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</si>
  <si>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</si>
  <si>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</si>
  <si>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</si>
  <si>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</si>
  <si>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</si>
  <si>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</si>
  <si>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</si>
  <si>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</si>
  <si>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</si>
  <si>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</si>
  <si>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</si>
  <si>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</si>
  <si>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</si>
  <si>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</si>
  <si>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</si>
  <si>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</si>
  <si>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</si>
  <si>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</si>
  <si>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</si>
  <si>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</si>
  <si>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</si>
  <si>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</si>
  <si>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</si>
  <si>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</si>
  <si>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</si>
  <si>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</si>
  <si>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</si>
  <si>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</si>
  <si>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</si>
  <si>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</si>
  <si>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</si>
  <si>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</si>
  <si>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</si>
  <si>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</si>
  <si>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</si>
  <si>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</si>
  <si>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</si>
  <si>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</si>
  <si>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</si>
  <si>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</si>
  <si>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</si>
  <si>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</si>
  <si>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</si>
  <si>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</si>
  <si>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</si>
  <si>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</si>
  <si>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</si>
  <si>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</si>
  <si>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</si>
  <si>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</si>
  <si>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</si>
  <si>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</si>
  <si>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</si>
  <si>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</si>
  <si>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</si>
  <si>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</si>
  <si>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</si>
  <si>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</si>
  <si>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</si>
  <si>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</si>
  <si>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</si>
  <si>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</si>
  <si>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</si>
  <si>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</si>
  <si>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</si>
  <si>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</si>
  <si>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</si>
  <si>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</si>
  <si>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</si>
  <si>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</si>
  <si>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</si>
  <si>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</si>
  <si>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</si>
  <si>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</si>
  <si>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</si>
  <si>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</si>
  <si>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</si>
  <si>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</si>
  <si>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</si>
  <si>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</si>
  <si>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</si>
  <si>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</si>
  <si>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</si>
  <si>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</si>
  <si>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</si>
  <si>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</si>
  <si>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</si>
  <si>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</si>
  <si>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</si>
  <si>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</si>
  <si>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</si>
  <si>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</si>
  <si>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</si>
  <si>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</si>
  <si>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</si>
  <si>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</si>
  <si>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</si>
  <si>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</si>
  <si>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</si>
  <si>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</si>
  <si>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</si>
  <si>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</si>
  <si>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</si>
  <si>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</si>
  <si>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</si>
  <si>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</si>
  <si>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</si>
  <si>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</si>
  <si>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</si>
  <si>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</si>
  <si>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</si>
  <si>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</si>
  <si>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</si>
  <si>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</si>
  <si>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</si>
  <si>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</si>
  <si>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</si>
  <si>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</si>
  <si>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</si>
  <si>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</si>
  <si>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</si>
  <si>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</si>
  <si>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</si>
  <si>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</si>
  <si>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</si>
  <si>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</si>
  <si>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</si>
  <si>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</si>
  <si>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</si>
  <si>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</si>
  <si>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</si>
  <si>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</si>
  <si>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</si>
  <si>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</si>
  <si>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</si>
  <si>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</si>
  <si>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</si>
  <si>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</si>
  <si>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</si>
  <si>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</si>
  <si>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</si>
  <si>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</si>
  <si>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</si>
  <si>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</si>
  <si>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</si>
  <si>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</si>
  <si>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</si>
  <si>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</si>
  <si>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</si>
  <si>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</si>
  <si>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</si>
  <si>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</si>
  <si>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</si>
  <si>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</si>
  <si>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</si>
  <si>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</si>
  <si>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</si>
  <si>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</si>
  <si>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</si>
  <si>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</si>
  <si>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</si>
  <si>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</si>
  <si>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</si>
  <si>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</si>
  <si>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</si>
  <si>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</si>
  <si>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</si>
  <si>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</si>
  <si>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</si>
  <si>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</si>
  <si>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</si>
  <si>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</si>
  <si>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</si>
  <si>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</si>
  <si>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</si>
  <si>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</si>
  <si>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</si>
  <si>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</si>
  <si>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</si>
  <si>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</si>
  <si>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</si>
  <si>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</si>
  <si>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</si>
  <si>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</si>
  <si>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</si>
  <si>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</si>
  <si>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</si>
  <si>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</si>
  <si>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</si>
  <si>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</si>
  <si>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</si>
  <si>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</si>
  <si>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</si>
  <si>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</si>
  <si>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</si>
  <si>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</si>
  <si>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71070</t>
  </si>
  <si>
    <t>HEUSDEN-ZOLDER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</si>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</sst>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260934.58409868504</c:v>
                </c:pt>
                <c:pt idx="1">
                  <c:v>96144.81286231277</c:v>
                </c:pt>
                <c:pt idx="2">
                  <c:v>1907.413</c:v>
                </c:pt>
                <c:pt idx="3">
                  <c:v>14419.046677099181</c:v>
                </c:pt>
                <c:pt idx="4">
                  <c:v>82888.062896274583</c:v>
                </c:pt>
                <c:pt idx="5">
                  <c:v>292216.70116603066</c:v>
                </c:pt>
                <c:pt idx="6">
                  <c:v>3495.0461092454643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260934.58409868504</c:v>
                </c:pt>
                <c:pt idx="1">
                  <c:v>96144.81286231277</c:v>
                </c:pt>
                <c:pt idx="2">
                  <c:v>1907.413</c:v>
                </c:pt>
                <c:pt idx="3">
                  <c:v>14419.046677099181</c:v>
                </c:pt>
                <c:pt idx="4">
                  <c:v>82888.062896274583</c:v>
                </c:pt>
                <c:pt idx="5">
                  <c:v>292216.70116603066</c:v>
                </c:pt>
                <c:pt idx="6">
                  <c:v>3495.0461092454643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53579.537170802054</c:v>
                </c:pt>
                <c:pt idx="1">
                  <c:v>17830.015661634337</c:v>
                </c:pt>
                <c:pt idx="2">
                  <c:v>345.11140954412559</c:v>
                </c:pt>
                <c:pt idx="3">
                  <c:v>3548.8594205484324</c:v>
                </c:pt>
                <c:pt idx="4">
                  <c:v>15828.512037165277</c:v>
                </c:pt>
                <c:pt idx="5">
                  <c:v>73256.556386883443</c:v>
                </c:pt>
                <c:pt idx="6">
                  <c:v>882.83197710829143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78944"/>
      </c:barChart>
      <c:catAx>
        <c:axId val="18011980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53579.537170802054</c:v>
                </c:pt>
                <c:pt idx="1">
                  <c:v>17830.015661634337</c:v>
                </c:pt>
                <c:pt idx="2">
                  <c:v>345.11140954412559</c:v>
                </c:pt>
                <c:pt idx="3">
                  <c:v>3548.8594205484324</c:v>
                </c:pt>
                <c:pt idx="4">
                  <c:v>15828.512037165277</c:v>
                </c:pt>
                <c:pt idx="5">
                  <c:v>73256.556386883443</c:v>
                </c:pt>
                <c:pt idx="6">
                  <c:v>882.83197710829143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71070</v>
      </c>
      <c r="B6" s="416"/>
      <c r="C6" s="417"/>
    </row>
    <row r="7" spans="1:7" s="414" customFormat="1" ht="15.75" customHeight="1">
      <c r="A7" s="418" t="str">
        <f>txtMunicipality</f>
        <v>HEUSDEN-ZOLDER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44068.315000000002</v>
      </c>
      <c r="D10" s="719">
        <f ca="1">tertiair!C16</f>
        <v>0</v>
      </c>
      <c r="E10" s="719">
        <f ca="1">tertiair!D16</f>
        <v>41594.676463999996</v>
      </c>
      <c r="F10" s="719">
        <f>tertiair!E16</f>
        <v>383.41607721184135</v>
      </c>
      <c r="G10" s="719">
        <f ca="1">tertiair!F16</f>
        <v>6414.2823153750514</v>
      </c>
      <c r="H10" s="719">
        <f>tertiair!G16</f>
        <v>0</v>
      </c>
      <c r="I10" s="719">
        <f>tertiair!H16</f>
        <v>0</v>
      </c>
      <c r="J10" s="719">
        <f>tertiair!I16</f>
        <v>0</v>
      </c>
      <c r="K10" s="719">
        <f>tertiair!J16</f>
        <v>0</v>
      </c>
      <c r="L10" s="719">
        <f>tertiair!K16</f>
        <v>0</v>
      </c>
      <c r="M10" s="719">
        <f ca="1">tertiair!L16</f>
        <v>0</v>
      </c>
      <c r="N10" s="719">
        <f>tertiair!M16</f>
        <v>0</v>
      </c>
      <c r="O10" s="719">
        <f ca="1">tertiair!N16</f>
        <v>5432.7493390592199</v>
      </c>
      <c r="P10" s="719">
        <f>tertiair!O16</f>
        <v>6.2533333333333339</v>
      </c>
      <c r="Q10" s="720">
        <f>tertiair!P16</f>
        <v>152.53333333333333</v>
      </c>
      <c r="R10" s="722">
        <f ca="1">SUM(C10:Q10)</f>
        <v>98052.225862312771</v>
      </c>
      <c r="S10" s="67"/>
    </row>
    <row r="11" spans="1:19" s="475" customFormat="1">
      <c r="A11" s="871" t="s">
        <v>225</v>
      </c>
      <c r="B11" s="876"/>
      <c r="C11" s="719">
        <f>huishoudens!B8</f>
        <v>53205.12942356705</v>
      </c>
      <c r="D11" s="719">
        <f>huishoudens!C8</f>
        <v>0</v>
      </c>
      <c r="E11" s="719">
        <f>huishoudens!D8</f>
        <v>93563.579648000014</v>
      </c>
      <c r="F11" s="719">
        <f>huishoudens!E8</f>
        <v>3791.933581345837</v>
      </c>
      <c r="G11" s="719">
        <f>huishoudens!F8</f>
        <v>90608.361485510788</v>
      </c>
      <c r="H11" s="719">
        <f>huishoudens!G8</f>
        <v>0</v>
      </c>
      <c r="I11" s="719">
        <f>huishoudens!H8</f>
        <v>0</v>
      </c>
      <c r="J11" s="719">
        <f>huishoudens!I8</f>
        <v>0</v>
      </c>
      <c r="K11" s="719">
        <f>huishoudens!J8</f>
        <v>0</v>
      </c>
      <c r="L11" s="719">
        <f>huishoudens!K8</f>
        <v>0</v>
      </c>
      <c r="M11" s="719">
        <f>huishoudens!L8</f>
        <v>0</v>
      </c>
      <c r="N11" s="719">
        <f>huishoudens!M8</f>
        <v>0</v>
      </c>
      <c r="O11" s="719">
        <f>huishoudens!N8</f>
        <v>17635.849960261359</v>
      </c>
      <c r="P11" s="719">
        <f>huishoudens!O8</f>
        <v>642.53000000000009</v>
      </c>
      <c r="Q11" s="720">
        <f>huishoudens!P8</f>
        <v>1487.2</v>
      </c>
      <c r="R11" s="722">
        <f>SUM(C11:Q11)</f>
        <v>260934.58409868504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32412.068999999996</v>
      </c>
      <c r="D13" s="719">
        <f>industrie!C18</f>
        <v>0</v>
      </c>
      <c r="E13" s="719">
        <f>industrie!D18</f>
        <v>22579.823728000003</v>
      </c>
      <c r="F13" s="719">
        <f>industrie!E18</f>
        <v>2947.4624176296611</v>
      </c>
      <c r="G13" s="719">
        <f>industrie!F18</f>
        <v>17524.361740274791</v>
      </c>
      <c r="H13" s="719">
        <f>industrie!G18</f>
        <v>0</v>
      </c>
      <c r="I13" s="719">
        <f>industrie!H18</f>
        <v>0</v>
      </c>
      <c r="J13" s="719">
        <f>industrie!I18</f>
        <v>0</v>
      </c>
      <c r="K13" s="719">
        <f>industrie!J18</f>
        <v>155.19629093524264</v>
      </c>
      <c r="L13" s="719">
        <f>industrie!K18</f>
        <v>0</v>
      </c>
      <c r="M13" s="719">
        <f>industrie!L18</f>
        <v>0</v>
      </c>
      <c r="N13" s="719">
        <f>industrie!M18</f>
        <v>0</v>
      </c>
      <c r="O13" s="719">
        <f>industrie!N18</f>
        <v>7269.1497194348794</v>
      </c>
      <c r="P13" s="719">
        <f>industrie!O18</f>
        <v>0</v>
      </c>
      <c r="Q13" s="720">
        <f>industrie!P18</f>
        <v>0</v>
      </c>
      <c r="R13" s="722">
        <f>SUM(C13:Q13)</f>
        <v>82888.062896274583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129685.51342356706</v>
      </c>
      <c r="D15" s="724">
        <f t="shared" ref="D15:Q15" ca="1" si="0">SUM(D9:D14)</f>
        <v>0</v>
      </c>
      <c r="E15" s="724">
        <f t="shared" ca="1" si="0"/>
        <v>157738.07984000002</v>
      </c>
      <c r="F15" s="724">
        <f t="shared" si="0"/>
        <v>7122.8120761873397</v>
      </c>
      <c r="G15" s="724">
        <f t="shared" ca="1" si="0"/>
        <v>114547.00554116063</v>
      </c>
      <c r="H15" s="724">
        <f t="shared" si="0"/>
        <v>0</v>
      </c>
      <c r="I15" s="724">
        <f t="shared" si="0"/>
        <v>0</v>
      </c>
      <c r="J15" s="724">
        <f t="shared" si="0"/>
        <v>0</v>
      </c>
      <c r="K15" s="724">
        <f t="shared" si="0"/>
        <v>155.19629093524264</v>
      </c>
      <c r="L15" s="724">
        <f t="shared" si="0"/>
        <v>0</v>
      </c>
      <c r="M15" s="724">
        <f t="shared" ca="1" si="0"/>
        <v>0</v>
      </c>
      <c r="N15" s="724">
        <f t="shared" si="0"/>
        <v>0</v>
      </c>
      <c r="O15" s="724">
        <f t="shared" ca="1" si="0"/>
        <v>30337.749018755458</v>
      </c>
      <c r="P15" s="724">
        <f t="shared" si="0"/>
        <v>648.78333333333342</v>
      </c>
      <c r="Q15" s="725">
        <f t="shared" si="0"/>
        <v>1639.7333333333333</v>
      </c>
      <c r="R15" s="726">
        <f ca="1">SUM(R9:R14)</f>
        <v>441874.87285727239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3306.4868056490313</v>
      </c>
      <c r="I18" s="719">
        <f>transport!H54</f>
        <v>0</v>
      </c>
      <c r="J18" s="719">
        <f>transport!I54</f>
        <v>0</v>
      </c>
      <c r="K18" s="719">
        <f>transport!J54</f>
        <v>0</v>
      </c>
      <c r="L18" s="719">
        <f>transport!K54</f>
        <v>0</v>
      </c>
      <c r="M18" s="719">
        <f>transport!L54</f>
        <v>0</v>
      </c>
      <c r="N18" s="719">
        <f>transport!M54</f>
        <v>188.55930359643321</v>
      </c>
      <c r="O18" s="719">
        <f>transport!N54</f>
        <v>0</v>
      </c>
      <c r="P18" s="719">
        <f>transport!O54</f>
        <v>0</v>
      </c>
      <c r="Q18" s="720">
        <f>transport!P54</f>
        <v>0</v>
      </c>
      <c r="R18" s="722">
        <f>SUM(C18:Q18)</f>
        <v>3495.0461092454643</v>
      </c>
      <c r="S18" s="67"/>
    </row>
    <row r="19" spans="1:19" s="475" customFormat="1" ht="15" thickBot="1">
      <c r="A19" s="871" t="s">
        <v>307</v>
      </c>
      <c r="B19" s="876"/>
      <c r="C19" s="728">
        <f>transport!B14</f>
        <v>40.440549537861244</v>
      </c>
      <c r="D19" s="728">
        <f>transport!C14</f>
        <v>0</v>
      </c>
      <c r="E19" s="728">
        <f>transport!D14</f>
        <v>109.20881306550599</v>
      </c>
      <c r="F19" s="728">
        <f>transport!E14</f>
        <v>781.20460594275505</v>
      </c>
      <c r="G19" s="728">
        <f>transport!F14</f>
        <v>0</v>
      </c>
      <c r="H19" s="728">
        <f>transport!G14</f>
        <v>234298.96754904531</v>
      </c>
      <c r="I19" s="728">
        <f>transport!H14</f>
        <v>42136.632327497791</v>
      </c>
      <c r="J19" s="728">
        <f>transport!I14</f>
        <v>0</v>
      </c>
      <c r="K19" s="728">
        <f>transport!J14</f>
        <v>0</v>
      </c>
      <c r="L19" s="728">
        <f>transport!K14</f>
        <v>0</v>
      </c>
      <c r="M19" s="728">
        <f>transport!L14</f>
        <v>0</v>
      </c>
      <c r="N19" s="728">
        <f>transport!M14</f>
        <v>14850.247320941475</v>
      </c>
      <c r="O19" s="728">
        <f>transport!N14</f>
        <v>0</v>
      </c>
      <c r="P19" s="728">
        <f>transport!O14</f>
        <v>0</v>
      </c>
      <c r="Q19" s="729">
        <f>transport!P14</f>
        <v>0</v>
      </c>
      <c r="R19" s="730">
        <f>SUM(C19:Q19)</f>
        <v>292216.70116603066</v>
      </c>
      <c r="S19" s="67"/>
    </row>
    <row r="20" spans="1:19" s="475" customFormat="1" ht="15.75" thickBot="1">
      <c r="A20" s="731" t="s">
        <v>230</v>
      </c>
      <c r="B20" s="879"/>
      <c r="C20" s="874">
        <f>SUM(C17:C19)</f>
        <v>40.440549537861244</v>
      </c>
      <c r="D20" s="732">
        <f t="shared" ref="D20:R20" si="1">SUM(D17:D19)</f>
        <v>0</v>
      </c>
      <c r="E20" s="732">
        <f t="shared" si="1"/>
        <v>109.20881306550599</v>
      </c>
      <c r="F20" s="732">
        <f t="shared" si="1"/>
        <v>781.20460594275505</v>
      </c>
      <c r="G20" s="732">
        <f t="shared" si="1"/>
        <v>0</v>
      </c>
      <c r="H20" s="732">
        <f t="shared" si="1"/>
        <v>237605.45435469435</v>
      </c>
      <c r="I20" s="732">
        <f t="shared" si="1"/>
        <v>42136.632327497791</v>
      </c>
      <c r="J20" s="732">
        <f t="shared" si="1"/>
        <v>0</v>
      </c>
      <c r="K20" s="732">
        <f t="shared" si="1"/>
        <v>0</v>
      </c>
      <c r="L20" s="732">
        <f t="shared" si="1"/>
        <v>0</v>
      </c>
      <c r="M20" s="732">
        <f t="shared" si="1"/>
        <v>0</v>
      </c>
      <c r="N20" s="732">
        <f t="shared" si="1"/>
        <v>15038.806624537909</v>
      </c>
      <c r="O20" s="732">
        <f t="shared" si="1"/>
        <v>0</v>
      </c>
      <c r="P20" s="732">
        <f t="shared" si="1"/>
        <v>0</v>
      </c>
      <c r="Q20" s="733">
        <f t="shared" si="1"/>
        <v>0</v>
      </c>
      <c r="R20" s="734">
        <f t="shared" si="1"/>
        <v>295711.74727527611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3800.915</v>
      </c>
      <c r="D22" s="728">
        <f>+landbouw!C8</f>
        <v>0</v>
      </c>
      <c r="E22" s="728">
        <f>+landbouw!D8</f>
        <v>356.55789400000003</v>
      </c>
      <c r="F22" s="728">
        <f>+landbouw!E8</f>
        <v>35.205666699538895</v>
      </c>
      <c r="G22" s="728">
        <f>+landbouw!F8</f>
        <v>9643.6454285644395</v>
      </c>
      <c r="H22" s="728">
        <f>+landbouw!G8</f>
        <v>0</v>
      </c>
      <c r="I22" s="728">
        <f>+landbouw!H8</f>
        <v>0</v>
      </c>
      <c r="J22" s="728">
        <f>+landbouw!I8</f>
        <v>0</v>
      </c>
      <c r="K22" s="728">
        <f>+landbouw!J8</f>
        <v>582.7226878352019</v>
      </c>
      <c r="L22" s="728">
        <f>+landbouw!K8</f>
        <v>0</v>
      </c>
      <c r="M22" s="728">
        <f>+landbouw!L8</f>
        <v>0</v>
      </c>
      <c r="N22" s="728">
        <f>+landbouw!M8</f>
        <v>0</v>
      </c>
      <c r="O22" s="728">
        <f>+landbouw!N8</f>
        <v>0</v>
      </c>
      <c r="P22" s="728">
        <f>+landbouw!O8</f>
        <v>0</v>
      </c>
      <c r="Q22" s="729">
        <f>+landbouw!P8</f>
        <v>0</v>
      </c>
      <c r="R22" s="730">
        <f>SUM(C22:Q22)</f>
        <v>14419.046677099181</v>
      </c>
      <c r="S22" s="67"/>
    </row>
    <row r="23" spans="1:19" s="475" customFormat="1" ht="17.25" thickTop="1" thickBot="1">
      <c r="A23" s="735" t="s">
        <v>116</v>
      </c>
      <c r="B23" s="865"/>
      <c r="C23" s="736">
        <f ca="1">C20+C15+C22</f>
        <v>133526.86897310492</v>
      </c>
      <c r="D23" s="736">
        <f t="shared" ref="D23:Q23" ca="1" si="2">D20+D15+D22</f>
        <v>0</v>
      </c>
      <c r="E23" s="736">
        <f t="shared" ca="1" si="2"/>
        <v>158203.84654706554</v>
      </c>
      <c r="F23" s="736">
        <f t="shared" si="2"/>
        <v>7939.2223488296331</v>
      </c>
      <c r="G23" s="736">
        <f t="shared" ca="1" si="2"/>
        <v>124190.65096972507</v>
      </c>
      <c r="H23" s="736">
        <f t="shared" si="2"/>
        <v>237605.45435469435</v>
      </c>
      <c r="I23" s="736">
        <f t="shared" si="2"/>
        <v>42136.632327497791</v>
      </c>
      <c r="J23" s="736">
        <f t="shared" si="2"/>
        <v>0</v>
      </c>
      <c r="K23" s="736">
        <f t="shared" si="2"/>
        <v>737.91897877044448</v>
      </c>
      <c r="L23" s="736">
        <f t="shared" si="2"/>
        <v>0</v>
      </c>
      <c r="M23" s="736">
        <f t="shared" ca="1" si="2"/>
        <v>0</v>
      </c>
      <c r="N23" s="736">
        <f t="shared" si="2"/>
        <v>15038.806624537909</v>
      </c>
      <c r="O23" s="736">
        <f t="shared" ca="1" si="2"/>
        <v>30337.749018755458</v>
      </c>
      <c r="P23" s="736">
        <f t="shared" si="2"/>
        <v>648.78333333333342</v>
      </c>
      <c r="Q23" s="737">
        <f t="shared" si="2"/>
        <v>1639.7333333333333</v>
      </c>
      <c r="R23" s="738">
        <f ca="1">R20+R15+R22</f>
        <v>752005.66680964769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7973.3535977182355</v>
      </c>
      <c r="D36" s="719">
        <f ca="1">tertiair!C20</f>
        <v>0</v>
      </c>
      <c r="E36" s="719">
        <f ca="1">tertiair!D20</f>
        <v>8402.1246457279995</v>
      </c>
      <c r="F36" s="719">
        <f>tertiair!E20</f>
        <v>87.035449527087991</v>
      </c>
      <c r="G36" s="719">
        <f ca="1">tertiair!F20</f>
        <v>1712.6133782051388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18175.127071178464</v>
      </c>
    </row>
    <row r="37" spans="1:18">
      <c r="A37" s="886" t="s">
        <v>225</v>
      </c>
      <c r="B37" s="893"/>
      <c r="C37" s="719">
        <f ca="1">huishoudens!B12</f>
        <v>9626.4926423091674</v>
      </c>
      <c r="D37" s="719">
        <f ca="1">huishoudens!C12</f>
        <v>0</v>
      </c>
      <c r="E37" s="719">
        <f>huishoudens!D12</f>
        <v>18899.843088896003</v>
      </c>
      <c r="F37" s="719">
        <f>huishoudens!E12</f>
        <v>860.768922965505</v>
      </c>
      <c r="G37" s="719">
        <f>huishoudens!F12</f>
        <v>24192.432516631383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53579.537170802054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5864.3696036628962</v>
      </c>
      <c r="D39" s="719">
        <f ca="1">industrie!C22</f>
        <v>0</v>
      </c>
      <c r="E39" s="719">
        <f>industrie!D22</f>
        <v>4561.1243930560013</v>
      </c>
      <c r="F39" s="719">
        <f>industrie!E22</f>
        <v>669.07396880193312</v>
      </c>
      <c r="G39" s="719">
        <f>industrie!F22</f>
        <v>4679.0045846533694</v>
      </c>
      <c r="H39" s="719">
        <f>industrie!G22</f>
        <v>0</v>
      </c>
      <c r="I39" s="719">
        <f>industrie!H22</f>
        <v>0</v>
      </c>
      <c r="J39" s="719">
        <f>industrie!I22</f>
        <v>0</v>
      </c>
      <c r="K39" s="719">
        <f>industrie!J22</f>
        <v>54.939486991075896</v>
      </c>
      <c r="L39" s="719">
        <f>industrie!K22</f>
        <v>0</v>
      </c>
      <c r="M39" s="719">
        <f>industrie!L22</f>
        <v>0</v>
      </c>
      <c r="N39" s="719">
        <f>industrie!M22</f>
        <v>0</v>
      </c>
      <c r="O39" s="719">
        <f>industrie!N22</f>
        <v>0</v>
      </c>
      <c r="P39" s="719">
        <f>industrie!O22</f>
        <v>0</v>
      </c>
      <c r="Q39" s="829">
        <f>industrie!P22</f>
        <v>0</v>
      </c>
      <c r="R39" s="919">
        <f ca="1">SUM(C39:Q39)</f>
        <v>15828.512037165277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23464.215843690301</v>
      </c>
      <c r="D41" s="764">
        <f t="shared" ref="D41:R41" ca="1" si="4">SUM(D35:D40)</f>
        <v>0</v>
      </c>
      <c r="E41" s="764">
        <f t="shared" ca="1" si="4"/>
        <v>31863.092127680004</v>
      </c>
      <c r="F41" s="764">
        <f t="shared" si="4"/>
        <v>1616.8783412945261</v>
      </c>
      <c r="G41" s="764">
        <f t="shared" ca="1" si="4"/>
        <v>30584.050479489892</v>
      </c>
      <c r="H41" s="764">
        <f t="shared" si="4"/>
        <v>0</v>
      </c>
      <c r="I41" s="764">
        <f t="shared" si="4"/>
        <v>0</v>
      </c>
      <c r="J41" s="764">
        <f t="shared" si="4"/>
        <v>0</v>
      </c>
      <c r="K41" s="764">
        <f t="shared" si="4"/>
        <v>54.939486991075896</v>
      </c>
      <c r="L41" s="764">
        <f t="shared" si="4"/>
        <v>0</v>
      </c>
      <c r="M41" s="764">
        <f t="shared" ca="1" si="4"/>
        <v>0</v>
      </c>
      <c r="N41" s="764">
        <f t="shared" si="4"/>
        <v>0</v>
      </c>
      <c r="O41" s="764">
        <f t="shared" ca="1" si="4"/>
        <v>0</v>
      </c>
      <c r="P41" s="764">
        <f t="shared" si="4"/>
        <v>0</v>
      </c>
      <c r="Q41" s="765">
        <f t="shared" si="4"/>
        <v>0</v>
      </c>
      <c r="R41" s="766">
        <f t="shared" ca="1" si="4"/>
        <v>87583.176279145788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882.83197710829143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882.83197710829143</v>
      </c>
    </row>
    <row r="45" spans="1:18" ht="15" thickBot="1">
      <c r="A45" s="889" t="s">
        <v>307</v>
      </c>
      <c r="B45" s="899"/>
      <c r="C45" s="728">
        <f ca="1">transport!B18</f>
        <v>7.3169759531629133</v>
      </c>
      <c r="D45" s="728">
        <f>transport!C18</f>
        <v>0</v>
      </c>
      <c r="E45" s="728">
        <f>transport!D18</f>
        <v>22.060180239232213</v>
      </c>
      <c r="F45" s="728">
        <f>transport!E18</f>
        <v>177.3334455490054</v>
      </c>
      <c r="G45" s="728">
        <f>transport!F18</f>
        <v>0</v>
      </c>
      <c r="H45" s="728">
        <f>transport!G18</f>
        <v>62557.824335595098</v>
      </c>
      <c r="I45" s="728">
        <f>transport!H18</f>
        <v>10492.02144954695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73256.556386883443</v>
      </c>
    </row>
    <row r="46" spans="1:18" ht="15.75" thickBot="1">
      <c r="A46" s="887" t="s">
        <v>230</v>
      </c>
      <c r="B46" s="900"/>
      <c r="C46" s="764">
        <f t="shared" ref="C46:R46" ca="1" si="5">SUM(C43:C45)</f>
        <v>7.3169759531629133</v>
      </c>
      <c r="D46" s="764">
        <f t="shared" ca="1" si="5"/>
        <v>0</v>
      </c>
      <c r="E46" s="764">
        <f t="shared" si="5"/>
        <v>22.060180239232213</v>
      </c>
      <c r="F46" s="764">
        <f t="shared" si="5"/>
        <v>177.3334455490054</v>
      </c>
      <c r="G46" s="764">
        <f t="shared" si="5"/>
        <v>0</v>
      </c>
      <c r="H46" s="764">
        <f t="shared" si="5"/>
        <v>63440.656312703388</v>
      </c>
      <c r="I46" s="764">
        <f t="shared" si="5"/>
        <v>10492.02144954695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74139.388363991733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687.70587869926976</v>
      </c>
      <c r="D48" s="719">
        <f ca="1">+landbouw!C12</f>
        <v>0</v>
      </c>
      <c r="E48" s="719">
        <f>+landbouw!D12</f>
        <v>72.024694588000017</v>
      </c>
      <c r="F48" s="719">
        <f>+landbouw!E12</f>
        <v>7.9916863407953294</v>
      </c>
      <c r="G48" s="719">
        <f>+landbouw!F12</f>
        <v>2574.8533294267054</v>
      </c>
      <c r="H48" s="719">
        <f>+landbouw!G12</f>
        <v>0</v>
      </c>
      <c r="I48" s="719">
        <f>+landbouw!H12</f>
        <v>0</v>
      </c>
      <c r="J48" s="719">
        <f>+landbouw!I12</f>
        <v>0</v>
      </c>
      <c r="K48" s="719">
        <f>+landbouw!J12</f>
        <v>206.28383149366147</v>
      </c>
      <c r="L48" s="719">
        <f>+landbouw!K12</f>
        <v>0</v>
      </c>
      <c r="M48" s="719">
        <f>+landbouw!L12</f>
        <v>0</v>
      </c>
      <c r="N48" s="719">
        <f>+landbouw!M12</f>
        <v>0</v>
      </c>
      <c r="O48" s="719">
        <f>+landbouw!N12</f>
        <v>0</v>
      </c>
      <c r="P48" s="719">
        <f>+landbouw!O12</f>
        <v>0</v>
      </c>
      <c r="Q48" s="720">
        <f>+landbouw!P12</f>
        <v>0</v>
      </c>
      <c r="R48" s="762">
        <f ca="1">SUM(C48:Q48)</f>
        <v>3548.8594205484324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24159.238698342735</v>
      </c>
      <c r="D53" s="774">
        <f t="shared" ref="D53:Q53" ca="1" si="6">D41+D46+D48</f>
        <v>0</v>
      </c>
      <c r="E53" s="774">
        <f t="shared" ca="1" si="6"/>
        <v>31957.177002507236</v>
      </c>
      <c r="F53" s="774">
        <f t="shared" si="6"/>
        <v>1802.2034731843266</v>
      </c>
      <c r="G53" s="774">
        <f t="shared" ca="1" si="6"/>
        <v>33158.903808916599</v>
      </c>
      <c r="H53" s="774">
        <f t="shared" si="6"/>
        <v>63440.656312703388</v>
      </c>
      <c r="I53" s="774">
        <f t="shared" si="6"/>
        <v>10492.02144954695</v>
      </c>
      <c r="J53" s="774">
        <f t="shared" si="6"/>
        <v>0</v>
      </c>
      <c r="K53" s="774">
        <f t="shared" si="6"/>
        <v>261.22331848473738</v>
      </c>
      <c r="L53" s="774">
        <f t="shared" si="6"/>
        <v>0</v>
      </c>
      <c r="M53" s="774">
        <f t="shared" ca="1" si="6"/>
        <v>0</v>
      </c>
      <c r="N53" s="774">
        <f t="shared" si="6"/>
        <v>0</v>
      </c>
      <c r="O53" s="774">
        <f t="shared" ca="1" si="6"/>
        <v>0</v>
      </c>
      <c r="P53" s="774">
        <f>P41+P46+P48</f>
        <v>0</v>
      </c>
      <c r="Q53" s="775">
        <f t="shared" si="6"/>
        <v>0</v>
      </c>
      <c r="R53" s="776">
        <f ca="1">R41+R46+R48</f>
        <v>165271.42406368593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0.18093166479631081</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24209.046808658175</v>
      </c>
      <c r="C66" s="796">
        <f>'lokale energieproductie'!B6</f>
        <v>24209.046808658175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24209.046808658175</v>
      </c>
      <c r="C69" s="804">
        <f>SUM(C64:C68)</f>
        <v>24209.046808658175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53205.12942356705</v>
      </c>
      <c r="C4" s="479">
        <f>huishoudens!C8</f>
        <v>0</v>
      </c>
      <c r="D4" s="479">
        <f>huishoudens!D8</f>
        <v>93563.579648000014</v>
      </c>
      <c r="E4" s="479">
        <f>huishoudens!E8</f>
        <v>3791.933581345837</v>
      </c>
      <c r="F4" s="479">
        <f>huishoudens!F8</f>
        <v>90608.361485510788</v>
      </c>
      <c r="G4" s="479">
        <f>huishoudens!G8</f>
        <v>0</v>
      </c>
      <c r="H4" s="479">
        <f>huishoudens!H8</f>
        <v>0</v>
      </c>
      <c r="I4" s="479">
        <f>huishoudens!I8</f>
        <v>0</v>
      </c>
      <c r="J4" s="479">
        <f>huishoudens!J8</f>
        <v>0</v>
      </c>
      <c r="K4" s="479">
        <f>huishoudens!K8</f>
        <v>0</v>
      </c>
      <c r="L4" s="479">
        <f>huishoudens!L8</f>
        <v>0</v>
      </c>
      <c r="M4" s="479">
        <f>huishoudens!M8</f>
        <v>0</v>
      </c>
      <c r="N4" s="479">
        <f>huishoudens!N8</f>
        <v>17635.849960261359</v>
      </c>
      <c r="O4" s="479">
        <f>huishoudens!O8</f>
        <v>642.53000000000009</v>
      </c>
      <c r="P4" s="480">
        <f>huishoudens!P8</f>
        <v>1487.2</v>
      </c>
      <c r="Q4" s="481">
        <f>SUM(B4:P4)</f>
        <v>260934.58409868504</v>
      </c>
    </row>
    <row r="5" spans="1:17">
      <c r="A5" s="478" t="s">
        <v>156</v>
      </c>
      <c r="B5" s="479">
        <f ca="1">tertiair!B16</f>
        <v>42160.902000000002</v>
      </c>
      <c r="C5" s="479">
        <f ca="1">tertiair!C16</f>
        <v>0</v>
      </c>
      <c r="D5" s="479">
        <f ca="1">tertiair!D16</f>
        <v>41594.676463999996</v>
      </c>
      <c r="E5" s="479">
        <f>tertiair!E16</f>
        <v>383.41607721184135</v>
      </c>
      <c r="F5" s="479">
        <f ca="1">tertiair!F16</f>
        <v>6414.2823153750514</v>
      </c>
      <c r="G5" s="479">
        <f>tertiair!G16</f>
        <v>0</v>
      </c>
      <c r="H5" s="479">
        <f>tertiair!H16</f>
        <v>0</v>
      </c>
      <c r="I5" s="479">
        <f>tertiair!I16</f>
        <v>0</v>
      </c>
      <c r="J5" s="479">
        <f>tertiair!J16</f>
        <v>0</v>
      </c>
      <c r="K5" s="479">
        <f>tertiair!K16</f>
        <v>0</v>
      </c>
      <c r="L5" s="479">
        <f ca="1">tertiair!L16</f>
        <v>0</v>
      </c>
      <c r="M5" s="479">
        <f>tertiair!M16</f>
        <v>0</v>
      </c>
      <c r="N5" s="479">
        <f ca="1">tertiair!N16</f>
        <v>5432.7493390592199</v>
      </c>
      <c r="O5" s="479">
        <f>tertiair!O16</f>
        <v>6.2533333333333339</v>
      </c>
      <c r="P5" s="480">
        <f>tertiair!P16</f>
        <v>152.53333333333333</v>
      </c>
      <c r="Q5" s="478">
        <f t="shared" ref="Q5:Q13" ca="1" si="0">SUM(B5:P5)</f>
        <v>96144.81286231277</v>
      </c>
    </row>
    <row r="6" spans="1:17">
      <c r="A6" s="478" t="s">
        <v>194</v>
      </c>
      <c r="B6" s="479">
        <f>'openbare verlichting'!B8</f>
        <v>1907.413</v>
      </c>
      <c r="C6" s="479"/>
      <c r="D6" s="479"/>
      <c r="E6" s="479"/>
      <c r="F6" s="479"/>
      <c r="G6" s="479"/>
      <c r="H6" s="479"/>
      <c r="I6" s="479"/>
      <c r="J6" s="479"/>
      <c r="K6" s="479"/>
      <c r="L6" s="479"/>
      <c r="M6" s="479"/>
      <c r="N6" s="479"/>
      <c r="O6" s="479"/>
      <c r="P6" s="480"/>
      <c r="Q6" s="478">
        <f t="shared" si="0"/>
        <v>1907.413</v>
      </c>
    </row>
    <row r="7" spans="1:17">
      <c r="A7" s="478" t="s">
        <v>112</v>
      </c>
      <c r="B7" s="479">
        <f>landbouw!B8</f>
        <v>3800.915</v>
      </c>
      <c r="C7" s="479">
        <f>landbouw!C8</f>
        <v>0</v>
      </c>
      <c r="D7" s="479">
        <f>landbouw!D8</f>
        <v>356.55789400000003</v>
      </c>
      <c r="E7" s="479">
        <f>landbouw!E8</f>
        <v>35.205666699538895</v>
      </c>
      <c r="F7" s="479">
        <f>landbouw!F8</f>
        <v>9643.6454285644395</v>
      </c>
      <c r="G7" s="479">
        <f>landbouw!G8</f>
        <v>0</v>
      </c>
      <c r="H7" s="479">
        <f>landbouw!H8</f>
        <v>0</v>
      </c>
      <c r="I7" s="479">
        <f>landbouw!I8</f>
        <v>0</v>
      </c>
      <c r="J7" s="479">
        <f>landbouw!J8</f>
        <v>582.7226878352019</v>
      </c>
      <c r="K7" s="479">
        <f>landbouw!K8</f>
        <v>0</v>
      </c>
      <c r="L7" s="479">
        <f>landbouw!L8</f>
        <v>0</v>
      </c>
      <c r="M7" s="479">
        <f>landbouw!M8</f>
        <v>0</v>
      </c>
      <c r="N7" s="479">
        <f>landbouw!N8</f>
        <v>0</v>
      </c>
      <c r="O7" s="479">
        <f>landbouw!O8</f>
        <v>0</v>
      </c>
      <c r="P7" s="480">
        <f>landbouw!P8</f>
        <v>0</v>
      </c>
      <c r="Q7" s="478">
        <f t="shared" si="0"/>
        <v>14419.046677099181</v>
      </c>
    </row>
    <row r="8" spans="1:17">
      <c r="A8" s="478" t="s">
        <v>650</v>
      </c>
      <c r="B8" s="479">
        <f>industrie!B18</f>
        <v>32412.068999999996</v>
      </c>
      <c r="C8" s="479">
        <f>industrie!C18</f>
        <v>0</v>
      </c>
      <c r="D8" s="479">
        <f>industrie!D18</f>
        <v>22579.823728000003</v>
      </c>
      <c r="E8" s="479">
        <f>industrie!E18</f>
        <v>2947.4624176296611</v>
      </c>
      <c r="F8" s="479">
        <f>industrie!F18</f>
        <v>17524.361740274791</v>
      </c>
      <c r="G8" s="479">
        <f>industrie!G18</f>
        <v>0</v>
      </c>
      <c r="H8" s="479">
        <f>industrie!H18</f>
        <v>0</v>
      </c>
      <c r="I8" s="479">
        <f>industrie!I18</f>
        <v>0</v>
      </c>
      <c r="J8" s="479">
        <f>industrie!J18</f>
        <v>155.19629093524264</v>
      </c>
      <c r="K8" s="479">
        <f>industrie!K18</f>
        <v>0</v>
      </c>
      <c r="L8" s="479">
        <f>industrie!L18</f>
        <v>0</v>
      </c>
      <c r="M8" s="479">
        <f>industrie!M18</f>
        <v>0</v>
      </c>
      <c r="N8" s="479">
        <f>industrie!N18</f>
        <v>7269.1497194348794</v>
      </c>
      <c r="O8" s="479">
        <f>industrie!O18</f>
        <v>0</v>
      </c>
      <c r="P8" s="480">
        <f>industrie!P18</f>
        <v>0</v>
      </c>
      <c r="Q8" s="478">
        <f t="shared" si="0"/>
        <v>82888.062896274583</v>
      </c>
    </row>
    <row r="9" spans="1:17" s="484" customFormat="1">
      <c r="A9" s="482" t="s">
        <v>571</v>
      </c>
      <c r="B9" s="483">
        <f>transport!B14</f>
        <v>40.440549537861244</v>
      </c>
      <c r="C9" s="483"/>
      <c r="D9" s="483">
        <f>transport!D14</f>
        <v>109.20881306550599</v>
      </c>
      <c r="E9" s="483">
        <f>transport!E14</f>
        <v>781.20460594275505</v>
      </c>
      <c r="F9" s="483"/>
      <c r="G9" s="483">
        <f>transport!G14</f>
        <v>234298.96754904531</v>
      </c>
      <c r="H9" s="483">
        <f>transport!H14</f>
        <v>42136.632327497791</v>
      </c>
      <c r="I9" s="483"/>
      <c r="J9" s="483"/>
      <c r="K9" s="483"/>
      <c r="L9" s="483"/>
      <c r="M9" s="483">
        <f>transport!M14</f>
        <v>14850.247320941475</v>
      </c>
      <c r="N9" s="483"/>
      <c r="O9" s="483"/>
      <c r="P9" s="483"/>
      <c r="Q9" s="482">
        <f>SUM(B9:P9)</f>
        <v>292216.70116603066</v>
      </c>
    </row>
    <row r="10" spans="1:17">
      <c r="A10" s="478" t="s">
        <v>561</v>
      </c>
      <c r="B10" s="479">
        <f>transport!B54</f>
        <v>0</v>
      </c>
      <c r="C10" s="479"/>
      <c r="D10" s="479">
        <f>transport!D54</f>
        <v>0</v>
      </c>
      <c r="E10" s="479"/>
      <c r="F10" s="479"/>
      <c r="G10" s="479">
        <f>transport!G54</f>
        <v>3306.4868056490313</v>
      </c>
      <c r="H10" s="479"/>
      <c r="I10" s="479"/>
      <c r="J10" s="479"/>
      <c r="K10" s="479"/>
      <c r="L10" s="479"/>
      <c r="M10" s="479">
        <f>transport!M54</f>
        <v>188.55930359643321</v>
      </c>
      <c r="N10" s="479"/>
      <c r="O10" s="479"/>
      <c r="P10" s="480"/>
      <c r="Q10" s="478">
        <f t="shared" si="0"/>
        <v>3495.0461092454643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133526.86897310489</v>
      </c>
      <c r="C14" s="489">
        <f t="shared" ref="C14:Q14" ca="1" si="1">SUM(C4:C13)</f>
        <v>0</v>
      </c>
      <c r="D14" s="489">
        <f t="shared" ca="1" si="1"/>
        <v>158203.84654706551</v>
      </c>
      <c r="E14" s="489">
        <f t="shared" si="1"/>
        <v>7939.2223488296331</v>
      </c>
      <c r="F14" s="489">
        <f t="shared" ca="1" si="1"/>
        <v>124190.65096972507</v>
      </c>
      <c r="G14" s="489">
        <f t="shared" si="1"/>
        <v>237605.45435469435</v>
      </c>
      <c r="H14" s="489">
        <f t="shared" si="1"/>
        <v>42136.632327497791</v>
      </c>
      <c r="I14" s="489">
        <f t="shared" si="1"/>
        <v>0</v>
      </c>
      <c r="J14" s="489">
        <f t="shared" si="1"/>
        <v>737.91897877044448</v>
      </c>
      <c r="K14" s="489">
        <f t="shared" si="1"/>
        <v>0</v>
      </c>
      <c r="L14" s="489">
        <f t="shared" ca="1" si="1"/>
        <v>0</v>
      </c>
      <c r="M14" s="489">
        <f t="shared" si="1"/>
        <v>15038.806624537909</v>
      </c>
      <c r="N14" s="489">
        <f t="shared" ca="1" si="1"/>
        <v>30337.749018755458</v>
      </c>
      <c r="O14" s="489">
        <f t="shared" si="1"/>
        <v>648.78333333333342</v>
      </c>
      <c r="P14" s="490">
        <f t="shared" si="1"/>
        <v>1639.7333333333333</v>
      </c>
      <c r="Q14" s="490">
        <f t="shared" ca="1" si="1"/>
        <v>752005.66680964769</v>
      </c>
    </row>
    <row r="16" spans="1:17">
      <c r="A16" s="492" t="s">
        <v>566</v>
      </c>
      <c r="B16" s="842">
        <f ca="1">huishoudens!B10</f>
        <v>0.18093166479631081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9626.4926423091674</v>
      </c>
      <c r="C21" s="479">
        <f t="shared" ref="C21:C28" ca="1" si="3">C4*$C$16</f>
        <v>0</v>
      </c>
      <c r="D21" s="479">
        <f t="shared" ref="D21:D30" si="4">D4*$D$16</f>
        <v>18899.843088896003</v>
      </c>
      <c r="E21" s="479">
        <f t="shared" ref="E21:E30" si="5">E4*$E$16</f>
        <v>860.768922965505</v>
      </c>
      <c r="F21" s="479">
        <f t="shared" ref="F21:F28" si="6">F4*$F$16</f>
        <v>24192.432516631383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53579.537170802054</v>
      </c>
    </row>
    <row r="22" spans="1:17">
      <c r="A22" s="478" t="s">
        <v>156</v>
      </c>
      <c r="B22" s="479">
        <f t="shared" ca="1" si="2"/>
        <v>7628.2421881741102</v>
      </c>
      <c r="C22" s="479">
        <f t="shared" ca="1" si="3"/>
        <v>0</v>
      </c>
      <c r="D22" s="479">
        <f t="shared" ca="1" si="4"/>
        <v>8402.1246457279995</v>
      </c>
      <c r="E22" s="479">
        <f t="shared" si="5"/>
        <v>87.035449527087991</v>
      </c>
      <c r="F22" s="479">
        <f t="shared" ca="1" si="6"/>
        <v>1712.6133782051388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17830.015661634337</v>
      </c>
    </row>
    <row r="23" spans="1:17">
      <c r="A23" s="478" t="s">
        <v>194</v>
      </c>
      <c r="B23" s="479">
        <f t="shared" ca="1" si="2"/>
        <v>345.11140954412559</v>
      </c>
      <c r="C23" s="479"/>
      <c r="D23" s="479"/>
      <c r="E23" s="479"/>
      <c r="F23" s="479"/>
      <c r="G23" s="479"/>
      <c r="H23" s="479"/>
      <c r="I23" s="479"/>
      <c r="J23" s="479"/>
      <c r="K23" s="479"/>
      <c r="L23" s="479"/>
      <c r="M23" s="479"/>
      <c r="N23" s="479"/>
      <c r="O23" s="479"/>
      <c r="P23" s="480"/>
      <c r="Q23" s="478">
        <f t="shared" ca="1" si="17"/>
        <v>345.11140954412559</v>
      </c>
    </row>
    <row r="24" spans="1:17">
      <c r="A24" s="478" t="s">
        <v>112</v>
      </c>
      <c r="B24" s="479">
        <f t="shared" ca="1" si="2"/>
        <v>687.70587869926976</v>
      </c>
      <c r="C24" s="479">
        <f t="shared" ca="1" si="3"/>
        <v>0</v>
      </c>
      <c r="D24" s="479">
        <f t="shared" si="4"/>
        <v>72.024694588000017</v>
      </c>
      <c r="E24" s="479">
        <f t="shared" si="5"/>
        <v>7.9916863407953294</v>
      </c>
      <c r="F24" s="479">
        <f t="shared" si="6"/>
        <v>2574.8533294267054</v>
      </c>
      <c r="G24" s="479">
        <f t="shared" si="7"/>
        <v>0</v>
      </c>
      <c r="H24" s="479">
        <f t="shared" si="8"/>
        <v>0</v>
      </c>
      <c r="I24" s="479">
        <f t="shared" si="9"/>
        <v>0</v>
      </c>
      <c r="J24" s="479">
        <f t="shared" si="10"/>
        <v>206.28383149366147</v>
      </c>
      <c r="K24" s="479">
        <f t="shared" si="11"/>
        <v>0</v>
      </c>
      <c r="L24" s="479">
        <f t="shared" si="12"/>
        <v>0</v>
      </c>
      <c r="M24" s="479">
        <f t="shared" si="13"/>
        <v>0</v>
      </c>
      <c r="N24" s="479">
        <f t="shared" si="14"/>
        <v>0</v>
      </c>
      <c r="O24" s="479">
        <f t="shared" si="15"/>
        <v>0</v>
      </c>
      <c r="P24" s="480">
        <f t="shared" si="16"/>
        <v>0</v>
      </c>
      <c r="Q24" s="478">
        <f t="shared" ca="1" si="17"/>
        <v>3548.8594205484324</v>
      </c>
    </row>
    <row r="25" spans="1:17">
      <c r="A25" s="478" t="s">
        <v>650</v>
      </c>
      <c r="B25" s="479">
        <f t="shared" ca="1" si="2"/>
        <v>5864.3696036628962</v>
      </c>
      <c r="C25" s="479">
        <f t="shared" ca="1" si="3"/>
        <v>0</v>
      </c>
      <c r="D25" s="479">
        <f t="shared" si="4"/>
        <v>4561.1243930560013</v>
      </c>
      <c r="E25" s="479">
        <f t="shared" si="5"/>
        <v>669.07396880193312</v>
      </c>
      <c r="F25" s="479">
        <f t="shared" si="6"/>
        <v>4679.0045846533694</v>
      </c>
      <c r="G25" s="479">
        <f t="shared" si="7"/>
        <v>0</v>
      </c>
      <c r="H25" s="479">
        <f t="shared" si="8"/>
        <v>0</v>
      </c>
      <c r="I25" s="479">
        <f t="shared" si="9"/>
        <v>0</v>
      </c>
      <c r="J25" s="479">
        <f t="shared" si="10"/>
        <v>54.939486991075896</v>
      </c>
      <c r="K25" s="479">
        <f t="shared" si="11"/>
        <v>0</v>
      </c>
      <c r="L25" s="479">
        <f t="shared" si="12"/>
        <v>0</v>
      </c>
      <c r="M25" s="479">
        <f t="shared" si="13"/>
        <v>0</v>
      </c>
      <c r="N25" s="479">
        <f t="shared" si="14"/>
        <v>0</v>
      </c>
      <c r="O25" s="479">
        <f t="shared" si="15"/>
        <v>0</v>
      </c>
      <c r="P25" s="480">
        <f t="shared" si="16"/>
        <v>0</v>
      </c>
      <c r="Q25" s="478">
        <f t="shared" ca="1" si="17"/>
        <v>15828.512037165277</v>
      </c>
    </row>
    <row r="26" spans="1:17" s="484" customFormat="1">
      <c r="A26" s="482" t="s">
        <v>571</v>
      </c>
      <c r="B26" s="836">
        <f t="shared" ca="1" si="2"/>
        <v>7.3169759531629133</v>
      </c>
      <c r="C26" s="483"/>
      <c r="D26" s="483">
        <f t="shared" si="4"/>
        <v>22.060180239232213</v>
      </c>
      <c r="E26" s="483">
        <f t="shared" si="5"/>
        <v>177.3334455490054</v>
      </c>
      <c r="F26" s="483"/>
      <c r="G26" s="483">
        <f t="shared" si="7"/>
        <v>62557.824335595098</v>
      </c>
      <c r="H26" s="483">
        <f t="shared" si="8"/>
        <v>10492.02144954695</v>
      </c>
      <c r="I26" s="483"/>
      <c r="J26" s="483"/>
      <c r="K26" s="483"/>
      <c r="L26" s="483"/>
      <c r="M26" s="483">
        <f t="shared" si="13"/>
        <v>0</v>
      </c>
      <c r="N26" s="483"/>
      <c r="O26" s="483"/>
      <c r="P26" s="494"/>
      <c r="Q26" s="482">
        <f t="shared" ca="1" si="17"/>
        <v>73256.556386883443</v>
      </c>
    </row>
    <row r="27" spans="1:17">
      <c r="A27" s="478" t="s">
        <v>561</v>
      </c>
      <c r="B27" s="479">
        <f t="shared" ca="1" si="2"/>
        <v>0</v>
      </c>
      <c r="C27" s="479"/>
      <c r="D27" s="483">
        <f t="shared" si="4"/>
        <v>0</v>
      </c>
      <c r="E27" s="479"/>
      <c r="F27" s="479"/>
      <c r="G27" s="479">
        <f t="shared" si="7"/>
        <v>882.83197710829143</v>
      </c>
      <c r="H27" s="479"/>
      <c r="I27" s="479"/>
      <c r="J27" s="479"/>
      <c r="K27" s="479"/>
      <c r="L27" s="479"/>
      <c r="M27" s="479">
        <f t="shared" si="13"/>
        <v>0</v>
      </c>
      <c r="N27" s="479"/>
      <c r="O27" s="479"/>
      <c r="P27" s="480"/>
      <c r="Q27" s="478">
        <f t="shared" ca="1" si="17"/>
        <v>882.83197710829143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24159.238698342735</v>
      </c>
      <c r="C31" s="489">
        <f t="shared" ca="1" si="18"/>
        <v>0</v>
      </c>
      <c r="D31" s="489">
        <f t="shared" ca="1" si="18"/>
        <v>31957.177002507236</v>
      </c>
      <c r="E31" s="489">
        <f t="shared" si="18"/>
        <v>1802.2034731843269</v>
      </c>
      <c r="F31" s="489">
        <f t="shared" ca="1" si="18"/>
        <v>33158.903808916599</v>
      </c>
      <c r="G31" s="489">
        <f t="shared" si="18"/>
        <v>63440.656312703388</v>
      </c>
      <c r="H31" s="489">
        <f t="shared" si="18"/>
        <v>10492.02144954695</v>
      </c>
      <c r="I31" s="489">
        <f t="shared" si="18"/>
        <v>0</v>
      </c>
      <c r="J31" s="489">
        <f t="shared" si="18"/>
        <v>261.22331848473738</v>
      </c>
      <c r="K31" s="489">
        <f t="shared" si="18"/>
        <v>0</v>
      </c>
      <c r="L31" s="489">
        <f t="shared" ca="1" si="18"/>
        <v>0</v>
      </c>
      <c r="M31" s="489">
        <f t="shared" si="18"/>
        <v>0</v>
      </c>
      <c r="N31" s="489">
        <f t="shared" ca="1" si="18"/>
        <v>0</v>
      </c>
      <c r="O31" s="489">
        <f t="shared" si="18"/>
        <v>0</v>
      </c>
      <c r="P31" s="490">
        <f t="shared" si="18"/>
        <v>0</v>
      </c>
      <c r="Q31" s="490">
        <f t="shared" ca="1" si="18"/>
        <v>165271.42406368596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0.18093166479631081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0.18093166479631081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0.18093166479631081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12352</v>
      </c>
      <c r="C9" s="342">
        <v>12841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876</v>
      </c>
    </row>
    <row r="15" spans="1:6">
      <c r="A15" s="348" t="s">
        <v>184</v>
      </c>
      <c r="B15" s="334">
        <v>1</v>
      </c>
    </row>
    <row r="16" spans="1:6">
      <c r="A16" s="348" t="s">
        <v>6</v>
      </c>
      <c r="B16" s="334">
        <v>52</v>
      </c>
    </row>
    <row r="17" spans="1:6">
      <c r="A17" s="348" t="s">
        <v>7</v>
      </c>
      <c r="B17" s="334">
        <v>77</v>
      </c>
    </row>
    <row r="18" spans="1:6">
      <c r="A18" s="348" t="s">
        <v>8</v>
      </c>
      <c r="B18" s="334">
        <v>95</v>
      </c>
    </row>
    <row r="19" spans="1:6">
      <c r="A19" s="348" t="s">
        <v>9</v>
      </c>
      <c r="B19" s="334">
        <v>98</v>
      </c>
    </row>
    <row r="20" spans="1:6">
      <c r="A20" s="348" t="s">
        <v>10</v>
      </c>
      <c r="B20" s="334">
        <v>131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v>
      </c>
    </row>
    <row r="27" spans="1:6">
      <c r="A27" s="348" t="s">
        <v>17</v>
      </c>
      <c r="B27" s="334">
        <v>1</v>
      </c>
    </row>
    <row r="28" spans="1:6" s="356" customFormat="1">
      <c r="A28" s="355" t="s">
        <v>18</v>
      </c>
      <c r="B28" s="355">
        <v>8970</v>
      </c>
    </row>
    <row r="29" spans="1:6">
      <c r="A29" s="355" t="s">
        <v>865</v>
      </c>
      <c r="B29" s="355">
        <v>141</v>
      </c>
      <c r="C29" s="356"/>
      <c r="D29" s="356"/>
      <c r="E29" s="356"/>
      <c r="F29" s="356"/>
    </row>
    <row r="30" spans="1:6">
      <c r="A30" s="341" t="s">
        <v>866</v>
      </c>
      <c r="B30" s="341">
        <v>54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50350</v>
      </c>
    </row>
    <row r="37" spans="1:6">
      <c r="A37" s="348" t="s">
        <v>25</v>
      </c>
      <c r="B37" s="348" t="s">
        <v>28</v>
      </c>
      <c r="C37" s="334">
        <v>0</v>
      </c>
      <c r="D37" s="334">
        <v>0</v>
      </c>
      <c r="E37" s="334">
        <v>0</v>
      </c>
      <c r="F37" s="334">
        <v>0</v>
      </c>
    </row>
    <row r="38" spans="1:6">
      <c r="A38" s="348" t="s">
        <v>25</v>
      </c>
      <c r="B38" s="348" t="s">
        <v>29</v>
      </c>
      <c r="C38" s="334">
        <v>0</v>
      </c>
      <c r="D38" s="334">
        <v>0</v>
      </c>
      <c r="E38" s="334">
        <v>1</v>
      </c>
      <c r="F38" s="334">
        <v>12016</v>
      </c>
    </row>
    <row r="39" spans="1:6">
      <c r="A39" s="348" t="s">
        <v>30</v>
      </c>
      <c r="B39" s="348" t="s">
        <v>31</v>
      </c>
      <c r="C39" s="334">
        <v>6421</v>
      </c>
      <c r="D39" s="334">
        <v>103729024</v>
      </c>
      <c r="E39" s="334">
        <v>12516</v>
      </c>
      <c r="F39" s="334">
        <v>44120276</v>
      </c>
    </row>
    <row r="40" spans="1:6">
      <c r="A40" s="348" t="s">
        <v>30</v>
      </c>
      <c r="B40" s="348" t="s">
        <v>29</v>
      </c>
      <c r="C40" s="334">
        <v>0</v>
      </c>
      <c r="D40" s="334">
        <v>0</v>
      </c>
      <c r="E40" s="334">
        <v>0</v>
      </c>
      <c r="F40" s="334">
        <v>0</v>
      </c>
    </row>
    <row r="41" spans="1:6">
      <c r="A41" s="348" t="s">
        <v>32</v>
      </c>
      <c r="B41" s="348" t="s">
        <v>33</v>
      </c>
      <c r="C41" s="334">
        <v>98</v>
      </c>
      <c r="D41" s="334">
        <v>4846772</v>
      </c>
      <c r="E41" s="334">
        <v>235</v>
      </c>
      <c r="F41" s="334">
        <v>7634522</v>
      </c>
    </row>
    <row r="42" spans="1:6">
      <c r="A42" s="348" t="s">
        <v>32</v>
      </c>
      <c r="B42" s="348" t="s">
        <v>34</v>
      </c>
      <c r="C42" s="334">
        <v>0</v>
      </c>
      <c r="D42" s="334">
        <v>0</v>
      </c>
      <c r="E42" s="334">
        <v>3</v>
      </c>
      <c r="F42" s="334">
        <v>865268</v>
      </c>
    </row>
    <row r="43" spans="1:6">
      <c r="A43" s="348" t="s">
        <v>32</v>
      </c>
      <c r="B43" s="348" t="s">
        <v>35</v>
      </c>
      <c r="C43" s="334">
        <v>0</v>
      </c>
      <c r="D43" s="334">
        <v>0</v>
      </c>
      <c r="E43" s="334">
        <v>0</v>
      </c>
      <c r="F43" s="334">
        <v>0</v>
      </c>
    </row>
    <row r="44" spans="1:6">
      <c r="A44" s="348" t="s">
        <v>32</v>
      </c>
      <c r="B44" s="348" t="s">
        <v>36</v>
      </c>
      <c r="C44" s="334">
        <v>17</v>
      </c>
      <c r="D44" s="334">
        <v>11102372</v>
      </c>
      <c r="E44" s="334">
        <v>27</v>
      </c>
      <c r="F44" s="334">
        <v>3034173</v>
      </c>
    </row>
    <row r="45" spans="1:6">
      <c r="A45" s="348" t="s">
        <v>32</v>
      </c>
      <c r="B45" s="348" t="s">
        <v>37</v>
      </c>
      <c r="C45" s="334">
        <v>0</v>
      </c>
      <c r="D45" s="334">
        <v>0</v>
      </c>
      <c r="E45" s="334">
        <v>5</v>
      </c>
      <c r="F45" s="334">
        <v>2809794</v>
      </c>
    </row>
    <row r="46" spans="1:6">
      <c r="A46" s="348" t="s">
        <v>32</v>
      </c>
      <c r="B46" s="348" t="s">
        <v>38</v>
      </c>
      <c r="C46" s="334">
        <v>3</v>
      </c>
      <c r="D46" s="334">
        <v>23525454</v>
      </c>
      <c r="E46" s="334">
        <v>0</v>
      </c>
      <c r="F46" s="334">
        <v>0</v>
      </c>
    </row>
    <row r="47" spans="1:6">
      <c r="A47" s="348" t="s">
        <v>32</v>
      </c>
      <c r="B47" s="348" t="s">
        <v>39</v>
      </c>
      <c r="C47" s="334">
        <v>0</v>
      </c>
      <c r="D47" s="334">
        <v>0</v>
      </c>
      <c r="E47" s="334">
        <v>5</v>
      </c>
      <c r="F47" s="334">
        <v>61943</v>
      </c>
    </row>
    <row r="48" spans="1:6">
      <c r="A48" s="348" t="s">
        <v>32</v>
      </c>
      <c r="B48" s="348" t="s">
        <v>29</v>
      </c>
      <c r="C48" s="334">
        <v>6</v>
      </c>
      <c r="D48" s="334">
        <v>1313727</v>
      </c>
      <c r="E48" s="334">
        <v>3</v>
      </c>
      <c r="F48" s="334">
        <v>14181891</v>
      </c>
    </row>
    <row r="49" spans="1:6">
      <c r="A49" s="348" t="s">
        <v>32</v>
      </c>
      <c r="B49" s="348" t="s">
        <v>40</v>
      </c>
      <c r="C49" s="334">
        <v>0</v>
      </c>
      <c r="D49" s="334">
        <v>0</v>
      </c>
      <c r="E49" s="334">
        <v>0</v>
      </c>
      <c r="F49" s="334">
        <v>0</v>
      </c>
    </row>
    <row r="50" spans="1:6">
      <c r="A50" s="348" t="s">
        <v>32</v>
      </c>
      <c r="B50" s="348" t="s">
        <v>41</v>
      </c>
      <c r="C50" s="334">
        <v>11</v>
      </c>
      <c r="D50" s="334">
        <v>7770193</v>
      </c>
      <c r="E50" s="334">
        <v>15</v>
      </c>
      <c r="F50" s="334">
        <v>3824478</v>
      </c>
    </row>
    <row r="51" spans="1:6">
      <c r="A51" s="348" t="s">
        <v>42</v>
      </c>
      <c r="B51" s="348" t="s">
        <v>43</v>
      </c>
      <c r="C51" s="334">
        <v>4</v>
      </c>
      <c r="D51" s="334">
        <v>395297</v>
      </c>
      <c r="E51" s="334">
        <v>24</v>
      </c>
      <c r="F51" s="334">
        <v>3800915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134</v>
      </c>
      <c r="F54" s="334">
        <v>1907413</v>
      </c>
    </row>
    <row r="55" spans="1:6">
      <c r="A55" s="348" t="s">
        <v>46</v>
      </c>
      <c r="B55" s="348" t="s">
        <v>29</v>
      </c>
      <c r="C55" s="334">
        <v>0</v>
      </c>
      <c r="D55" s="334">
        <v>0</v>
      </c>
      <c r="E55" s="334">
        <v>0</v>
      </c>
      <c r="F55" s="334">
        <v>0</v>
      </c>
    </row>
    <row r="56" spans="1:6">
      <c r="A56" s="348" t="s">
        <v>48</v>
      </c>
      <c r="B56" s="348" t="s">
        <v>29</v>
      </c>
      <c r="C56" s="334">
        <v>99</v>
      </c>
      <c r="D56" s="334">
        <v>2398461</v>
      </c>
      <c r="E56" s="334">
        <v>275</v>
      </c>
      <c r="F56" s="334">
        <v>1751640</v>
      </c>
    </row>
    <row r="57" spans="1:6">
      <c r="A57" s="348" t="s">
        <v>49</v>
      </c>
      <c r="B57" s="348" t="s">
        <v>50</v>
      </c>
      <c r="C57" s="334">
        <v>96</v>
      </c>
      <c r="D57" s="334">
        <v>14399884</v>
      </c>
      <c r="E57" s="334">
        <v>251</v>
      </c>
      <c r="F57" s="334">
        <v>7345760</v>
      </c>
    </row>
    <row r="58" spans="1:6">
      <c r="A58" s="348" t="s">
        <v>49</v>
      </c>
      <c r="B58" s="348" t="s">
        <v>51</v>
      </c>
      <c r="C58" s="334">
        <v>45</v>
      </c>
      <c r="D58" s="334">
        <v>6401017</v>
      </c>
      <c r="E58" s="334">
        <v>69</v>
      </c>
      <c r="F58" s="334">
        <v>7891760</v>
      </c>
    </row>
    <row r="59" spans="1:6">
      <c r="A59" s="348" t="s">
        <v>49</v>
      </c>
      <c r="B59" s="348" t="s">
        <v>52</v>
      </c>
      <c r="C59" s="334">
        <v>188</v>
      </c>
      <c r="D59" s="334">
        <v>10539390</v>
      </c>
      <c r="E59" s="334">
        <v>351</v>
      </c>
      <c r="F59" s="334">
        <v>16116574</v>
      </c>
    </row>
    <row r="60" spans="1:6">
      <c r="A60" s="348" t="s">
        <v>49</v>
      </c>
      <c r="B60" s="348" t="s">
        <v>53</v>
      </c>
      <c r="C60" s="334">
        <v>89</v>
      </c>
      <c r="D60" s="334">
        <v>4664927</v>
      </c>
      <c r="E60" s="334">
        <v>128</v>
      </c>
      <c r="F60" s="334">
        <v>3819612</v>
      </c>
    </row>
    <row r="61" spans="1:6">
      <c r="A61" s="348" t="s">
        <v>49</v>
      </c>
      <c r="B61" s="348" t="s">
        <v>54</v>
      </c>
      <c r="C61" s="334">
        <v>182</v>
      </c>
      <c r="D61" s="334">
        <v>8019484</v>
      </c>
      <c r="E61" s="334">
        <v>470</v>
      </c>
      <c r="F61" s="334">
        <v>6204936</v>
      </c>
    </row>
    <row r="62" spans="1:6">
      <c r="A62" s="348" t="s">
        <v>49</v>
      </c>
      <c r="B62" s="348" t="s">
        <v>55</v>
      </c>
      <c r="C62" s="334">
        <v>16</v>
      </c>
      <c r="D62" s="334">
        <v>2089130</v>
      </c>
      <c r="E62" s="334">
        <v>23</v>
      </c>
      <c r="F62" s="334">
        <v>782260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4</v>
      </c>
      <c r="F67" s="334">
        <v>79798</v>
      </c>
    </row>
    <row r="68" spans="1:6">
      <c r="A68" s="341" t="s">
        <v>56</v>
      </c>
      <c r="B68" s="341" t="s">
        <v>60</v>
      </c>
      <c r="C68" s="334">
        <v>7</v>
      </c>
      <c r="D68" s="334">
        <v>289834</v>
      </c>
      <c r="E68" s="334">
        <v>16</v>
      </c>
      <c r="F68" s="334">
        <v>410590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81037696</v>
      </c>
      <c r="E73" s="477">
        <v>99438064.445308074</v>
      </c>
    </row>
    <row r="74" spans="1:6">
      <c r="A74" s="348" t="s">
        <v>64</v>
      </c>
      <c r="B74" s="348" t="s">
        <v>714</v>
      </c>
      <c r="C74" s="1288" t="s">
        <v>716</v>
      </c>
      <c r="D74" s="477">
        <v>2839165.118482586</v>
      </c>
      <c r="E74" s="477">
        <v>3344904.1203942411</v>
      </c>
    </row>
    <row r="75" spans="1:6">
      <c r="A75" s="348" t="s">
        <v>65</v>
      </c>
      <c r="B75" s="348" t="s">
        <v>713</v>
      </c>
      <c r="C75" s="1288" t="s">
        <v>717</v>
      </c>
      <c r="D75" s="477">
        <v>54197267</v>
      </c>
      <c r="E75" s="477">
        <v>66469409.309763104</v>
      </c>
    </row>
    <row r="76" spans="1:6">
      <c r="A76" s="348" t="s">
        <v>65</v>
      </c>
      <c r="B76" s="348" t="s">
        <v>714</v>
      </c>
      <c r="C76" s="1288" t="s">
        <v>718</v>
      </c>
      <c r="D76" s="477">
        <v>637414.11848258576</v>
      </c>
      <c r="E76" s="477">
        <v>920377.421682899</v>
      </c>
    </row>
    <row r="77" spans="1:6">
      <c r="A77" s="348" t="s">
        <v>66</v>
      </c>
      <c r="B77" s="348" t="s">
        <v>713</v>
      </c>
      <c r="C77" s="1288" t="s">
        <v>719</v>
      </c>
      <c r="D77" s="477">
        <v>159836256</v>
      </c>
      <c r="E77" s="477">
        <v>180717925.55962238</v>
      </c>
    </row>
    <row r="78" spans="1:6">
      <c r="A78" s="341" t="s">
        <v>66</v>
      </c>
      <c r="B78" s="341" t="s">
        <v>714</v>
      </c>
      <c r="C78" s="341" t="s">
        <v>720</v>
      </c>
      <c r="D78" s="1284">
        <v>29884275</v>
      </c>
      <c r="E78" s="1284">
        <v>32481821.398927994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933959.76303482847</v>
      </c>
      <c r="C83" s="477">
        <v>918038.65183222876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9084.8534235670522</v>
      </c>
    </row>
    <row r="92" spans="1:6">
      <c r="A92" s="341" t="s">
        <v>69</v>
      </c>
      <c r="B92" s="342">
        <v>15124.193385091125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1923</v>
      </c>
    </row>
    <row r="98" spans="1:6">
      <c r="A98" s="348" t="s">
        <v>72</v>
      </c>
      <c r="B98" s="334">
        <v>7</v>
      </c>
    </row>
    <row r="99" spans="1:6">
      <c r="A99" s="348" t="s">
        <v>73</v>
      </c>
      <c r="B99" s="334">
        <v>53</v>
      </c>
    </row>
    <row r="100" spans="1:6">
      <c r="A100" s="348" t="s">
        <v>74</v>
      </c>
      <c r="B100" s="334">
        <v>335</v>
      </c>
    </row>
    <row r="101" spans="1:6">
      <c r="A101" s="348" t="s">
        <v>75</v>
      </c>
      <c r="B101" s="334">
        <v>65</v>
      </c>
    </row>
    <row r="102" spans="1:6">
      <c r="A102" s="348" t="s">
        <v>76</v>
      </c>
      <c r="B102" s="334">
        <v>118</v>
      </c>
    </row>
    <row r="103" spans="1:6">
      <c r="A103" s="348" t="s">
        <v>77</v>
      </c>
      <c r="B103" s="334">
        <v>185</v>
      </c>
    </row>
    <row r="104" spans="1:6">
      <c r="A104" s="348" t="s">
        <v>78</v>
      </c>
      <c r="B104" s="334">
        <v>7729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94</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317</v>
      </c>
    </row>
    <row r="130" spans="1:6">
      <c r="A130" s="348" t="s">
        <v>295</v>
      </c>
      <c r="B130" s="334">
        <v>4</v>
      </c>
    </row>
    <row r="131" spans="1:6">
      <c r="A131" s="348" t="s">
        <v>296</v>
      </c>
      <c r="B131" s="334">
        <v>8</v>
      </c>
    </row>
    <row r="132" spans="1:6">
      <c r="A132" s="341" t="s">
        <v>297</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133526.86897310492</v>
      </c>
      <c r="C3" s="43" t="s">
        <v>170</v>
      </c>
      <c r="D3" s="43"/>
      <c r="E3" s="154"/>
      <c r="F3" s="43"/>
      <c r="G3" s="43"/>
      <c r="H3" s="43"/>
      <c r="I3" s="43"/>
      <c r="J3" s="43"/>
      <c r="K3" s="96"/>
    </row>
    <row r="4" spans="1:11">
      <c r="A4" s="384" t="s">
        <v>171</v>
      </c>
      <c r="B4" s="49">
        <f>IF(ISERROR('SEAP template'!B69),0,'SEAP template'!B69)</f>
        <v>24209.046808658175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0.18093166479631081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1907.413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1907.413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0.18093166479631081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345.11140954412559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44120.275999999998</v>
      </c>
      <c r="C5" s="17">
        <f>IF(ISERROR('Eigen informatie GS &amp; warmtenet'!B57),0,'Eigen informatie GS &amp; warmtenet'!B57)</f>
        <v>0</v>
      </c>
      <c r="D5" s="30">
        <f>(SUM(HH_hh_gas_kWh,HH_rest_gas_kWh)/1000)*0.902</f>
        <v>93563.579648000014</v>
      </c>
      <c r="E5" s="17">
        <f>B46*B57</f>
        <v>3791.933581345837</v>
      </c>
      <c r="F5" s="17">
        <f>B51*B62</f>
        <v>90608.361485510788</v>
      </c>
      <c r="G5" s="18"/>
      <c r="H5" s="17"/>
      <c r="I5" s="17"/>
      <c r="J5" s="17">
        <f>B50*B61+C50*C61</f>
        <v>0</v>
      </c>
      <c r="K5" s="17"/>
      <c r="L5" s="17"/>
      <c r="M5" s="17"/>
      <c r="N5" s="17">
        <f>B48*B59+C48*C59</f>
        <v>17635.849960261359</v>
      </c>
      <c r="O5" s="17">
        <f>B69*B70*B71</f>
        <v>642.53000000000009</v>
      </c>
      <c r="P5" s="17">
        <f>B77*B78*B79/1000-B77*B78*B79/1000/B80</f>
        <v>1487.2</v>
      </c>
    </row>
    <row r="6" spans="1:16">
      <c r="A6" s="16" t="s">
        <v>631</v>
      </c>
      <c r="B6" s="844">
        <f>kWh_PV_kleiner_dan_10kW</f>
        <v>9084.8534235670522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53205.12942356705</v>
      </c>
      <c r="C8" s="21">
        <f>C5</f>
        <v>0</v>
      </c>
      <c r="D8" s="21">
        <f>D5</f>
        <v>93563.579648000014</v>
      </c>
      <c r="E8" s="21">
        <f>E5</f>
        <v>3791.933581345837</v>
      </c>
      <c r="F8" s="21">
        <f>F5</f>
        <v>90608.361485510788</v>
      </c>
      <c r="G8" s="21"/>
      <c r="H8" s="21"/>
      <c r="I8" s="21"/>
      <c r="J8" s="21">
        <f>J5</f>
        <v>0</v>
      </c>
      <c r="K8" s="21"/>
      <c r="L8" s="21">
        <f>L5</f>
        <v>0</v>
      </c>
      <c r="M8" s="21">
        <f>M5</f>
        <v>0</v>
      </c>
      <c r="N8" s="21">
        <f>N5</f>
        <v>17635.849960261359</v>
      </c>
      <c r="O8" s="21">
        <f>O5</f>
        <v>642.53000000000009</v>
      </c>
      <c r="P8" s="21">
        <f>P5</f>
        <v>1487.2</v>
      </c>
    </row>
    <row r="9" spans="1:16">
      <c r="B9" s="19"/>
      <c r="C9" s="19"/>
      <c r="D9" s="258"/>
      <c r="E9" s="19"/>
      <c r="F9" s="19"/>
      <c r="G9" s="19"/>
      <c r="H9" s="19"/>
      <c r="I9" s="19"/>
      <c r="J9" s="19"/>
      <c r="K9" s="19"/>
      <c r="L9" s="19"/>
      <c r="M9" s="19"/>
      <c r="N9" s="19"/>
      <c r="O9" s="19"/>
      <c r="P9" s="19"/>
    </row>
    <row r="10" spans="1:16">
      <c r="A10" s="24" t="s">
        <v>214</v>
      </c>
      <c r="B10" s="25">
        <f ca="1">'EF ele_warmte'!B12</f>
        <v>0.18093166479631081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9626.4926423091674</v>
      </c>
      <c r="C12" s="23">
        <f ca="1">C10*C8</f>
        <v>0</v>
      </c>
      <c r="D12" s="23">
        <f>D8*D10</f>
        <v>18899.843088896003</v>
      </c>
      <c r="E12" s="23">
        <f>E10*E8</f>
        <v>860.768922965505</v>
      </c>
      <c r="F12" s="23">
        <f>F10*F8</f>
        <v>24192.432516631383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1923</v>
      </c>
      <c r="C18" s="166" t="s">
        <v>111</v>
      </c>
      <c r="D18" s="228"/>
      <c r="E18" s="15"/>
    </row>
    <row r="19" spans="1:7">
      <c r="A19" s="171" t="s">
        <v>72</v>
      </c>
      <c r="B19" s="37">
        <f>aantalw2001_ander</f>
        <v>7</v>
      </c>
      <c r="C19" s="166" t="s">
        <v>111</v>
      </c>
      <c r="D19" s="229"/>
      <c r="E19" s="15"/>
    </row>
    <row r="20" spans="1:7">
      <c r="A20" s="171" t="s">
        <v>73</v>
      </c>
      <c r="B20" s="37">
        <f>aantalw2001_propaan</f>
        <v>53</v>
      </c>
      <c r="C20" s="167">
        <f>IF(ISERROR(B20/SUM($B$20,$B$21,$B$22)*100),0,B20/SUM($B$20,$B$21,$B$22)*100)</f>
        <v>11.699779249448124</v>
      </c>
      <c r="D20" s="229"/>
      <c r="E20" s="15"/>
    </row>
    <row r="21" spans="1:7">
      <c r="A21" s="171" t="s">
        <v>74</v>
      </c>
      <c r="B21" s="37">
        <f>aantalw2001_elektriciteit</f>
        <v>335</v>
      </c>
      <c r="C21" s="167">
        <f>IF(ISERROR(B21/SUM($B$20,$B$21,$B$22)*100),0,B21/SUM($B$20,$B$21,$B$22)*100)</f>
        <v>73.951434878587193</v>
      </c>
      <c r="D21" s="229"/>
      <c r="E21" s="15"/>
    </row>
    <row r="22" spans="1:7">
      <c r="A22" s="171" t="s">
        <v>75</v>
      </c>
      <c r="B22" s="37">
        <f>aantalw2001_hout</f>
        <v>65</v>
      </c>
      <c r="C22" s="167">
        <f>IF(ISERROR(B22/SUM($B$20,$B$21,$B$22)*100),0,B22/SUM($B$20,$B$21,$B$22)*100)</f>
        <v>14.348785871964681</v>
      </c>
      <c r="D22" s="229"/>
      <c r="E22" s="15"/>
    </row>
    <row r="23" spans="1:7">
      <c r="A23" s="171" t="s">
        <v>76</v>
      </c>
      <c r="B23" s="37">
        <f>aantalw2001_niet_gespec</f>
        <v>118</v>
      </c>
      <c r="C23" s="166" t="s">
        <v>111</v>
      </c>
      <c r="D23" s="228"/>
      <c r="E23" s="15"/>
    </row>
    <row r="24" spans="1:7">
      <c r="A24" s="171" t="s">
        <v>77</v>
      </c>
      <c r="B24" s="37">
        <f>aantalw2001_steenkool</f>
        <v>185</v>
      </c>
      <c r="C24" s="166" t="s">
        <v>111</v>
      </c>
      <c r="D24" s="229"/>
      <c r="E24" s="15"/>
    </row>
    <row r="25" spans="1:7">
      <c r="A25" s="171" t="s">
        <v>78</v>
      </c>
      <c r="B25" s="37">
        <f>aantalw2001_stookolie</f>
        <v>7729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12352</v>
      </c>
      <c r="C28" s="36"/>
      <c r="D28" s="228"/>
    </row>
    <row r="29" spans="1:7" s="15" customFormat="1">
      <c r="A29" s="230" t="s">
        <v>741</v>
      </c>
      <c r="B29" s="37">
        <f>SUM(HH_hh_gas_aantal,HH_rest_gas_aantal)</f>
        <v>6421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6421</v>
      </c>
      <c r="C32" s="167">
        <f>IF(ISERROR(B32/SUM($B$32,$B$34,$B$35,$B$36,$B$38,$B$39)*100),0,B32/SUM($B$32,$B$34,$B$35,$B$36,$B$38,$B$39)*100)</f>
        <v>52.313834120905987</v>
      </c>
      <c r="D32" s="233"/>
      <c r="G32" s="15"/>
    </row>
    <row r="33" spans="1:7">
      <c r="A33" s="171" t="s">
        <v>72</v>
      </c>
      <c r="B33" s="34" t="s">
        <v>111</v>
      </c>
      <c r="C33" s="167"/>
      <c r="D33" s="233"/>
      <c r="G33" s="15"/>
    </row>
    <row r="34" spans="1:7">
      <c r="A34" s="171" t="s">
        <v>73</v>
      </c>
      <c r="B34" s="33">
        <f>IF((($B$28-$B$32-$B$39-$B$77-$B$38)*C20/100)&lt;0,0,($B$28-$B$32-$B$39-$B$77-$B$38)*C20/100)</f>
        <v>254.14260485651218</v>
      </c>
      <c r="C34" s="167">
        <f>IF(ISERROR(B34/SUM($B$32,$B$34,$B$35,$B$36,$B$38,$B$39)*100),0,B34/SUM($B$32,$B$34,$B$35,$B$36,$B$38,$B$39)*100)</f>
        <v>2.0705768686370556</v>
      </c>
      <c r="D34" s="233"/>
      <c r="G34" s="15"/>
    </row>
    <row r="35" spans="1:7">
      <c r="A35" s="171" t="s">
        <v>74</v>
      </c>
      <c r="B35" s="33">
        <f>IF((($B$28-$B$32-$B$39-$B$77-$B$38)*C21/100)&lt;0,0,($B$28-$B$32-$B$39-$B$77-$B$38)*C21/100)</f>
        <v>1606.3730684326711</v>
      </c>
      <c r="C35" s="167">
        <f>IF(ISERROR(B35/SUM($B$32,$B$34,$B$35,$B$36,$B$38,$B$39)*100),0,B35/SUM($B$32,$B$34,$B$35,$B$36,$B$38,$B$39)*100)</f>
        <v>13.087608509309689</v>
      </c>
      <c r="D35" s="233"/>
      <c r="G35" s="15"/>
    </row>
    <row r="36" spans="1:7">
      <c r="A36" s="171" t="s">
        <v>75</v>
      </c>
      <c r="B36" s="33">
        <f>IF((($B$28-$B$32-$B$39-$B$77-$B$38)*C22/100)&lt;0,0,($B$28-$B$32-$B$39-$B$77-$B$38)*C22/100)</f>
        <v>311.68432671081683</v>
      </c>
      <c r="C36" s="167">
        <f>IF(ISERROR(B36/SUM($B$32,$B$34,$B$35,$B$36,$B$38,$B$39)*100),0,B36/SUM($B$32,$B$34,$B$35,$B$36,$B$38,$B$39)*100)</f>
        <v>2.5393867256869549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3680.7999999999997</v>
      </c>
      <c r="C39" s="167">
        <f>IF(ISERROR(B39/SUM($B$32,$B$34,$B$35,$B$36,$B$38,$B$39)*100),0,B39/SUM($B$32,$B$34,$B$35,$B$36,$B$38,$B$39)*100)</f>
        <v>29.988593775460327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6421</v>
      </c>
      <c r="C44" s="34" t="s">
        <v>111</v>
      </c>
      <c r="D44" s="174"/>
    </row>
    <row r="45" spans="1:7">
      <c r="A45" s="171" t="s">
        <v>72</v>
      </c>
      <c r="B45" s="33" t="str">
        <f t="shared" si="0"/>
        <v>-</v>
      </c>
      <c r="C45" s="34" t="s">
        <v>111</v>
      </c>
      <c r="D45" s="174"/>
    </row>
    <row r="46" spans="1:7">
      <c r="A46" s="171" t="s">
        <v>73</v>
      </c>
      <c r="B46" s="33">
        <f t="shared" si="0"/>
        <v>254.14260485651218</v>
      </c>
      <c r="C46" s="34" t="s">
        <v>111</v>
      </c>
      <c r="D46" s="174"/>
    </row>
    <row r="47" spans="1:7">
      <c r="A47" s="171" t="s">
        <v>74</v>
      </c>
      <c r="B47" s="33">
        <f t="shared" si="0"/>
        <v>1606.3730684326711</v>
      </c>
      <c r="C47" s="34" t="s">
        <v>111</v>
      </c>
      <c r="D47" s="174"/>
    </row>
    <row r="48" spans="1:7">
      <c r="A48" s="171" t="s">
        <v>75</v>
      </c>
      <c r="B48" s="33">
        <f t="shared" si="0"/>
        <v>311.68432671081683</v>
      </c>
      <c r="C48" s="33">
        <f>B48*10</f>
        <v>3116.8432671081682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3680.7999999999997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42160.902000000002</v>
      </c>
      <c r="C5" s="17">
        <f>IF(ISERROR('Eigen informatie GS &amp; warmtenet'!B58),0,'Eigen informatie GS &amp; warmtenet'!B58)</f>
        <v>0</v>
      </c>
      <c r="D5" s="30">
        <f>SUM(D6:D12)</f>
        <v>41594.676463999996</v>
      </c>
      <c r="E5" s="17">
        <f>SUM(E6:E12)</f>
        <v>383.41607721184135</v>
      </c>
      <c r="F5" s="17">
        <f>SUM(F6:F12)</f>
        <v>6414.2823153750514</v>
      </c>
      <c r="G5" s="18"/>
      <c r="H5" s="17"/>
      <c r="I5" s="17"/>
      <c r="J5" s="17">
        <f>SUM(J6:J12)</f>
        <v>0</v>
      </c>
      <c r="K5" s="17"/>
      <c r="L5" s="17"/>
      <c r="M5" s="17"/>
      <c r="N5" s="17">
        <f>SUM(N6:N12)</f>
        <v>5432.7493390592199</v>
      </c>
      <c r="O5" s="17">
        <f>B38*B39*B40</f>
        <v>6.2533333333333339</v>
      </c>
      <c r="P5" s="17">
        <f>B46*B47*B48/1000-B46*B47*B48/1000/B49</f>
        <v>152.53333333333333</v>
      </c>
      <c r="R5" s="32"/>
    </row>
    <row r="6" spans="1:18">
      <c r="A6" s="32" t="s">
        <v>54</v>
      </c>
      <c r="B6" s="37">
        <f>B26</f>
        <v>6204.9359999999997</v>
      </c>
      <c r="C6" s="33"/>
      <c r="D6" s="37">
        <f>IF(ISERROR(TER_kantoor_gas_kWh/1000),0,TER_kantoor_gas_kWh/1000)*0.902</f>
        <v>7233.5745680000009</v>
      </c>
      <c r="E6" s="33">
        <f>$C$26*'E Balans VL '!I12/100/3.6*1000000</f>
        <v>17.976609985198216</v>
      </c>
      <c r="F6" s="33">
        <f>$C$26*('E Balans VL '!L12+'E Balans VL '!N12)/100/3.6*1000000</f>
        <v>702.26204986083451</v>
      </c>
      <c r="G6" s="34"/>
      <c r="H6" s="33"/>
      <c r="I6" s="33"/>
      <c r="J6" s="33">
        <f>$C$26*('E Balans VL '!D12+'E Balans VL '!E12)/100/3.6*1000000</f>
        <v>0</v>
      </c>
      <c r="K6" s="33"/>
      <c r="L6" s="33"/>
      <c r="M6" s="33"/>
      <c r="N6" s="33">
        <f>$C$26*'E Balans VL '!Y12/100/3.6*1000000</f>
        <v>62.106837359020979</v>
      </c>
      <c r="O6" s="33"/>
      <c r="P6" s="33"/>
      <c r="R6" s="32"/>
    </row>
    <row r="7" spans="1:18">
      <c r="A7" s="32" t="s">
        <v>53</v>
      </c>
      <c r="B7" s="37">
        <f t="shared" ref="B7:B12" si="0">B27</f>
        <v>3819.6120000000001</v>
      </c>
      <c r="C7" s="33"/>
      <c r="D7" s="37">
        <f>IF(ISERROR(TER_horeca_gas_kWh/1000),0,TER_horeca_gas_kWh/1000)*0.902</f>
        <v>4207.7641539999995</v>
      </c>
      <c r="E7" s="33">
        <f>$C$27*'E Balans VL '!I9/100/3.6*1000000</f>
        <v>160.33663997498738</v>
      </c>
      <c r="F7" s="33">
        <f>$C$27*('E Balans VL '!L9+'E Balans VL '!N9)/100/3.6*1000000</f>
        <v>820.72196672127109</v>
      </c>
      <c r="G7" s="34"/>
      <c r="H7" s="33"/>
      <c r="I7" s="33"/>
      <c r="J7" s="33">
        <f>$C$27*('E Balans VL '!D9+'E Balans VL '!E9)/100/3.6*1000000</f>
        <v>0</v>
      </c>
      <c r="K7" s="33"/>
      <c r="L7" s="33"/>
      <c r="M7" s="33"/>
      <c r="N7" s="33">
        <f>$C$27*'E Balans VL '!Y9/100/3.6*1000000</f>
        <v>0.9842806086812631</v>
      </c>
      <c r="O7" s="33"/>
      <c r="P7" s="33"/>
      <c r="R7" s="32"/>
    </row>
    <row r="8" spans="1:18">
      <c r="A8" s="6" t="s">
        <v>52</v>
      </c>
      <c r="B8" s="37">
        <f t="shared" si="0"/>
        <v>16116.574000000001</v>
      </c>
      <c r="C8" s="33"/>
      <c r="D8" s="37">
        <f>IF(ISERROR(TER_handel_gas_kWh/1000),0,TER_handel_gas_kWh/1000)*0.902</f>
        <v>9506.5297799999989</v>
      </c>
      <c r="E8" s="33">
        <f>$C$28*'E Balans VL '!I13/100/3.6*1000000</f>
        <v>173.10541820324175</v>
      </c>
      <c r="F8" s="33">
        <f>$C$28*('E Balans VL '!L13+'E Balans VL '!N13)/100/3.6*1000000</f>
        <v>2086.423592224512</v>
      </c>
      <c r="G8" s="34"/>
      <c r="H8" s="33"/>
      <c r="I8" s="33"/>
      <c r="J8" s="33">
        <f>$C$28*('E Balans VL '!D13+'E Balans VL '!E13)/100/3.6*1000000</f>
        <v>0</v>
      </c>
      <c r="K8" s="33"/>
      <c r="L8" s="33"/>
      <c r="M8" s="33"/>
      <c r="N8" s="33">
        <f>$C$28*'E Balans VL '!Y13/100/3.6*1000000</f>
        <v>130.73852829120253</v>
      </c>
      <c r="O8" s="33"/>
      <c r="P8" s="33"/>
      <c r="R8" s="32"/>
    </row>
    <row r="9" spans="1:18">
      <c r="A9" s="32" t="s">
        <v>51</v>
      </c>
      <c r="B9" s="37">
        <f t="shared" si="0"/>
        <v>7891.76</v>
      </c>
      <c r="C9" s="33"/>
      <c r="D9" s="37">
        <f>IF(ISERROR(TER_gezond_gas_kWh/1000),0,TER_gezond_gas_kWh/1000)*0.902</f>
        <v>5773.7173339999999</v>
      </c>
      <c r="E9" s="33">
        <f>$C$29*'E Balans VL '!I10/100/3.6*1000000</f>
        <v>6.2823513853621016</v>
      </c>
      <c r="F9" s="33">
        <f>$C$29*('E Balans VL '!L10+'E Balans VL '!N10)/100/3.6*1000000</f>
        <v>959.35747420418784</v>
      </c>
      <c r="G9" s="34"/>
      <c r="H9" s="33"/>
      <c r="I9" s="33"/>
      <c r="J9" s="33">
        <f>$C$29*('E Balans VL '!D10+'E Balans VL '!E10)/100/3.6*1000000</f>
        <v>0</v>
      </c>
      <c r="K9" s="33"/>
      <c r="L9" s="33"/>
      <c r="M9" s="33"/>
      <c r="N9" s="33">
        <f>$C$29*'E Balans VL '!Y10/100/3.6*1000000</f>
        <v>63.747546495560286</v>
      </c>
      <c r="O9" s="33"/>
      <c r="P9" s="33"/>
      <c r="R9" s="32"/>
    </row>
    <row r="10" spans="1:18">
      <c r="A10" s="32" t="s">
        <v>50</v>
      </c>
      <c r="B10" s="37">
        <f t="shared" si="0"/>
        <v>7345.76</v>
      </c>
      <c r="C10" s="33"/>
      <c r="D10" s="37">
        <f>IF(ISERROR(TER_ander_gas_kWh/1000),0,TER_ander_gas_kWh/1000)*0.902</f>
        <v>12988.695368000001</v>
      </c>
      <c r="E10" s="33">
        <f>$C$30*'E Balans VL '!I14/100/3.6*1000000</f>
        <v>25.174305416763854</v>
      </c>
      <c r="F10" s="33">
        <f>$C$30*('E Balans VL '!L14+'E Balans VL '!N14)/100/3.6*1000000</f>
        <v>1640.7442874754463</v>
      </c>
      <c r="G10" s="34"/>
      <c r="H10" s="33"/>
      <c r="I10" s="33"/>
      <c r="J10" s="33">
        <f>$C$30*('E Balans VL '!D14+'E Balans VL '!E14)/100/3.6*1000000</f>
        <v>0</v>
      </c>
      <c r="K10" s="33"/>
      <c r="L10" s="33"/>
      <c r="M10" s="33"/>
      <c r="N10" s="33">
        <f>$C$30*'E Balans VL '!Y14/100/3.6*1000000</f>
        <v>5174.3934731024647</v>
      </c>
      <c r="O10" s="33"/>
      <c r="P10" s="33"/>
      <c r="R10" s="32"/>
    </row>
    <row r="11" spans="1:18">
      <c r="A11" s="32" t="s">
        <v>55</v>
      </c>
      <c r="B11" s="37">
        <f t="shared" si="0"/>
        <v>782.26</v>
      </c>
      <c r="C11" s="33"/>
      <c r="D11" s="37">
        <f>IF(ISERROR(TER_onderwijs_gas_kWh/1000),0,TER_onderwijs_gas_kWh/1000)*0.902</f>
        <v>1884.3952600000002</v>
      </c>
      <c r="E11" s="33">
        <f>$C$31*'E Balans VL '!I11/100/3.6*1000000</f>
        <v>0.54075224628804752</v>
      </c>
      <c r="F11" s="33">
        <f>$C$31*('E Balans VL '!L11+'E Balans VL '!N11)/100/3.6*1000000</f>
        <v>204.77294488880008</v>
      </c>
      <c r="G11" s="34"/>
      <c r="H11" s="33"/>
      <c r="I11" s="33"/>
      <c r="J11" s="33">
        <f>$C$31*('E Balans VL '!D11+'E Balans VL '!E11)/100/3.6*1000000</f>
        <v>0</v>
      </c>
      <c r="K11" s="33"/>
      <c r="L11" s="33"/>
      <c r="M11" s="33"/>
      <c r="N11" s="33">
        <f>$C$31*'E Balans VL '!Y11/100/3.6*1000000</f>
        <v>0.77867320229071169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42160.902000000002</v>
      </c>
      <c r="C16" s="21">
        <f t="shared" ca="1" si="1"/>
        <v>0</v>
      </c>
      <c r="D16" s="21">
        <f t="shared" ca="1" si="1"/>
        <v>41594.676463999996</v>
      </c>
      <c r="E16" s="21">
        <f t="shared" si="1"/>
        <v>383.41607721184135</v>
      </c>
      <c r="F16" s="21">
        <f t="shared" ca="1" si="1"/>
        <v>6414.2823153750514</v>
      </c>
      <c r="G16" s="21">
        <f t="shared" si="1"/>
        <v>0</v>
      </c>
      <c r="H16" s="21">
        <f t="shared" si="1"/>
        <v>0</v>
      </c>
      <c r="I16" s="21">
        <f t="shared" si="1"/>
        <v>0</v>
      </c>
      <c r="J16" s="21">
        <f t="shared" si="1"/>
        <v>0</v>
      </c>
      <c r="K16" s="21">
        <f t="shared" si="1"/>
        <v>0</v>
      </c>
      <c r="L16" s="21">
        <f t="shared" ca="1" si="1"/>
        <v>0</v>
      </c>
      <c r="M16" s="21">
        <f t="shared" si="1"/>
        <v>0</v>
      </c>
      <c r="N16" s="21">
        <f t="shared" ca="1" si="1"/>
        <v>5432.7493390592199</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0.18093166479631081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7628.2421881741102</v>
      </c>
      <c r="C20" s="23">
        <f t="shared" ref="C20:P20" ca="1" si="2">C16*C18</f>
        <v>0</v>
      </c>
      <c r="D20" s="23">
        <f t="shared" ca="1" si="2"/>
        <v>8402.1246457279995</v>
      </c>
      <c r="E20" s="23">
        <f t="shared" si="2"/>
        <v>87.035449527087991</v>
      </c>
      <c r="F20" s="23">
        <f t="shared" ca="1" si="2"/>
        <v>1712.6133782051388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6204.9359999999997</v>
      </c>
      <c r="C26" s="39">
        <f>IF(ISERROR(B26*3.6/1000000/'E Balans VL '!Z12*100),0,B26*3.6/1000000/'E Balans VL '!Z12*100)</f>
        <v>0.13629859286436297</v>
      </c>
      <c r="D26" s="237" t="s">
        <v>692</v>
      </c>
      <c r="F26" s="6"/>
    </row>
    <row r="27" spans="1:18">
      <c r="A27" s="231" t="s">
        <v>53</v>
      </c>
      <c r="B27" s="33">
        <f>IF(ISERROR(TER_horeca_ele_kWh/1000),0,TER_horeca_ele_kWh/1000)</f>
        <v>3819.6120000000001</v>
      </c>
      <c r="C27" s="39">
        <f>IF(ISERROR(B27*3.6/1000000/'E Balans VL '!Z9*100),0,B27*3.6/1000000/'E Balans VL '!Z9*100)</f>
        <v>0.30694389854211512</v>
      </c>
      <c r="D27" s="237" t="s">
        <v>692</v>
      </c>
      <c r="F27" s="6"/>
    </row>
    <row r="28" spans="1:18">
      <c r="A28" s="171" t="s">
        <v>52</v>
      </c>
      <c r="B28" s="33">
        <f>IF(ISERROR(TER_handel_ele_kWh/1000),0,TER_handel_ele_kWh/1000)</f>
        <v>16116.574000000001</v>
      </c>
      <c r="C28" s="39">
        <f>IF(ISERROR(B28*3.6/1000000/'E Balans VL '!Z13*100),0,B28*3.6/1000000/'E Balans VL '!Z13*100)</f>
        <v>0.47655583390499745</v>
      </c>
      <c r="D28" s="237" t="s">
        <v>692</v>
      </c>
      <c r="F28" s="6"/>
    </row>
    <row r="29" spans="1:18">
      <c r="A29" s="231" t="s">
        <v>51</v>
      </c>
      <c r="B29" s="33">
        <f>IF(ISERROR(TER_gezond_ele_kWh/1000),0,TER_gezond_ele_kWh/1000)</f>
        <v>7891.76</v>
      </c>
      <c r="C29" s="39">
        <f>IF(ISERROR(B29*3.6/1000000/'E Balans VL '!Z10*100),0,B29*3.6/1000000/'E Balans VL '!Z10*100)</f>
        <v>0.88919760471716847</v>
      </c>
      <c r="D29" s="237" t="s">
        <v>692</v>
      </c>
      <c r="F29" s="6"/>
    </row>
    <row r="30" spans="1:18">
      <c r="A30" s="231" t="s">
        <v>50</v>
      </c>
      <c r="B30" s="33">
        <f>IF(ISERROR(TER_ander_ele_kWh/1000),0,TER_ander_ele_kWh/1000)</f>
        <v>7345.76</v>
      </c>
      <c r="C30" s="39">
        <f>IF(ISERROR(B30*3.6/1000000/'E Balans VL '!Z14*100),0,B30*3.6/1000000/'E Balans VL '!Z14*100)</f>
        <v>0.55554727179048091</v>
      </c>
      <c r="D30" s="237" t="s">
        <v>692</v>
      </c>
      <c r="F30" s="6"/>
    </row>
    <row r="31" spans="1:18">
      <c r="A31" s="231" t="s">
        <v>55</v>
      </c>
      <c r="B31" s="33">
        <f>IF(ISERROR(TER_onderwijs_ele_kWh/1000),0,TER_onderwijs_ele_kWh/1000)</f>
        <v>782.26</v>
      </c>
      <c r="C31" s="39">
        <f>IF(ISERROR(B31*3.6/1000000/'E Balans VL '!Z11*100),0,B31*3.6/1000000/'E Balans VL '!Z11*100)</f>
        <v>0.16237901661369014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32412.068999999996</v>
      </c>
      <c r="C5" s="17">
        <f>IF(ISERROR('Eigen informatie GS &amp; warmtenet'!B59),0,'Eigen informatie GS &amp; warmtenet'!B59)</f>
        <v>0</v>
      </c>
      <c r="D5" s="30">
        <f>SUM(D6:D15)</f>
        <v>22579.823728000003</v>
      </c>
      <c r="E5" s="17">
        <f>SUM(E6:E15)</f>
        <v>2947.4624176296611</v>
      </c>
      <c r="F5" s="17">
        <f>SUM(F6:F15)</f>
        <v>17524.361740274791</v>
      </c>
      <c r="G5" s="18"/>
      <c r="H5" s="17"/>
      <c r="I5" s="17"/>
      <c r="J5" s="17">
        <f>SUM(J6:J15)</f>
        <v>155.19629093524264</v>
      </c>
      <c r="K5" s="17"/>
      <c r="L5" s="17"/>
      <c r="M5" s="17"/>
      <c r="N5" s="17">
        <f>SUM(N6:N15)</f>
        <v>7269.1497194348794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3034.1729999999998</v>
      </c>
      <c r="C8" s="33"/>
      <c r="D8" s="37">
        <f>IF( ISERROR(IND_metaal_Gas_kWH/1000),0,IND_metaal_Gas_kWH/1000)*0.902</f>
        <v>10014.339544</v>
      </c>
      <c r="E8" s="33">
        <f>C30*'E Balans VL '!I18/100/3.6*1000000</f>
        <v>75.934730812005341</v>
      </c>
      <c r="F8" s="33">
        <f>C30*'E Balans VL '!L18/100/3.6*1000000+C30*'E Balans VL '!N18/100/3.6*1000000</f>
        <v>950.92491095269145</v>
      </c>
      <c r="G8" s="34"/>
      <c r="H8" s="33"/>
      <c r="I8" s="33"/>
      <c r="J8" s="40">
        <f>C30*'E Balans VL '!D18/100/3.6*1000000+C30*'E Balans VL '!E18/100/3.6*1000000</f>
        <v>0</v>
      </c>
      <c r="K8" s="33"/>
      <c r="L8" s="33"/>
      <c r="M8" s="33"/>
      <c r="N8" s="33">
        <f>C30*'E Balans VL '!Y18/100/3.6*1000000</f>
        <v>76.22630012558497</v>
      </c>
      <c r="O8" s="33"/>
      <c r="P8" s="33"/>
      <c r="R8" s="32"/>
    </row>
    <row r="9" spans="1:18">
      <c r="A9" s="6" t="s">
        <v>33</v>
      </c>
      <c r="B9" s="37">
        <f t="shared" si="0"/>
        <v>7634.5219999999999</v>
      </c>
      <c r="C9" s="33"/>
      <c r="D9" s="37">
        <f>IF( ISERROR(IND_andere_gas_kWh/1000),0,IND_andere_gas_kWh/1000)*0.902</f>
        <v>4371.7883440000005</v>
      </c>
      <c r="E9" s="33">
        <f>C31*'E Balans VL '!I19/100/3.6*1000000</f>
        <v>2099.180419655735</v>
      </c>
      <c r="F9" s="33">
        <f>C31*'E Balans VL '!L19/100/3.6*1000000+C31*'E Balans VL '!N19/100/3.6*1000000</f>
        <v>6017.3318382117486</v>
      </c>
      <c r="G9" s="34"/>
      <c r="H9" s="33"/>
      <c r="I9" s="33"/>
      <c r="J9" s="40">
        <f>C31*'E Balans VL '!D19/100/3.6*1000000+C31*'E Balans VL '!E19/100/3.6*1000000</f>
        <v>0</v>
      </c>
      <c r="K9" s="33"/>
      <c r="L9" s="33"/>
      <c r="M9" s="33"/>
      <c r="N9" s="33">
        <f>C31*'E Balans VL '!Y19/100/3.6*1000000</f>
        <v>2471.4962890590073</v>
      </c>
      <c r="O9" s="33"/>
      <c r="P9" s="33"/>
      <c r="R9" s="32"/>
    </row>
    <row r="10" spans="1:18">
      <c r="A10" s="6" t="s">
        <v>41</v>
      </c>
      <c r="B10" s="37">
        <f t="shared" si="0"/>
        <v>3824.4780000000001</v>
      </c>
      <c r="C10" s="33"/>
      <c r="D10" s="37">
        <f>IF( ISERROR(IND_voed_gas_kWh/1000),0,IND_voed_gas_kWh/1000)*0.902</f>
        <v>7008.714086</v>
      </c>
      <c r="E10" s="33">
        <f>C32*'E Balans VL '!I20/100/3.6*1000000</f>
        <v>38.98844629304768</v>
      </c>
      <c r="F10" s="33">
        <f>C32*'E Balans VL '!L20/100/3.6*1000000+C32*'E Balans VL '!N20/100/3.6*1000000</f>
        <v>7224.4150221991113</v>
      </c>
      <c r="G10" s="34"/>
      <c r="H10" s="33"/>
      <c r="I10" s="33"/>
      <c r="J10" s="40">
        <f>C32*'E Balans VL '!D20/100/3.6*1000000+C32*'E Balans VL '!E20/100/3.6*1000000</f>
        <v>91.532272288670711</v>
      </c>
      <c r="K10" s="33"/>
      <c r="L10" s="33"/>
      <c r="M10" s="33"/>
      <c r="N10" s="33">
        <f>C32*'E Balans VL '!Y20/100/3.6*1000000</f>
        <v>2015.9404318467498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2809.7939999999999</v>
      </c>
      <c r="C12" s="33"/>
      <c r="D12" s="37">
        <f>IF( ISERROR(IND_min_gas_kWh/1000),0,IND_min_gas_kWh/1000)*0.902</f>
        <v>0</v>
      </c>
      <c r="E12" s="33">
        <f>C34*'E Balans VL '!I22/100/3.6*1000000</f>
        <v>8.5095950074433375</v>
      </c>
      <c r="F12" s="33">
        <f>C34*'E Balans VL '!L22/100/3.6*1000000+C34*'E Balans VL '!N22/100/3.6*1000000</f>
        <v>87.808478181349429</v>
      </c>
      <c r="G12" s="34"/>
      <c r="H12" s="33"/>
      <c r="I12" s="33"/>
      <c r="J12" s="40">
        <f>C34*'E Balans VL '!D22/100/3.6*1000000+C34*'E Balans VL '!E22/100/3.6*1000000</f>
        <v>4.1663007598728283</v>
      </c>
      <c r="K12" s="33"/>
      <c r="L12" s="33"/>
      <c r="M12" s="33"/>
      <c r="N12" s="33">
        <f>C34*'E Balans VL '!Y22/100/3.6*1000000</f>
        <v>0</v>
      </c>
      <c r="O12" s="33"/>
      <c r="P12" s="33"/>
      <c r="R12" s="32"/>
    </row>
    <row r="13" spans="1:18">
      <c r="A13" s="6" t="s">
        <v>39</v>
      </c>
      <c r="B13" s="37">
        <f t="shared" si="0"/>
        <v>61.942999999999998</v>
      </c>
      <c r="C13" s="33"/>
      <c r="D13" s="37">
        <f>IF( ISERROR(IND_papier_gas_kWh/1000),0,IND_papier_gas_kWh/1000)*0.902</f>
        <v>0</v>
      </c>
      <c r="E13" s="33">
        <f>C35*'E Balans VL '!I23/100/3.6*1000000</f>
        <v>0.12828813405182202</v>
      </c>
      <c r="F13" s="33">
        <f>C35*'E Balans VL '!L23/100/3.6*1000000+C35*'E Balans VL '!N23/100/3.6*1000000</f>
        <v>1.2284624852373307</v>
      </c>
      <c r="G13" s="34"/>
      <c r="H13" s="33"/>
      <c r="I13" s="33"/>
      <c r="J13" s="40">
        <f>C35*'E Balans VL '!D23/100/3.6*1000000+C35*'E Balans VL '!E23/100/3.6*1000000</f>
        <v>0</v>
      </c>
      <c r="K13" s="33"/>
      <c r="L13" s="33"/>
      <c r="M13" s="33"/>
      <c r="N13" s="33">
        <f>C35*'E Balans VL '!Y23/100/3.6*1000000</f>
        <v>26.155299735855294</v>
      </c>
      <c r="O13" s="33"/>
      <c r="P13" s="33"/>
      <c r="R13" s="32"/>
    </row>
    <row r="14" spans="1:18">
      <c r="A14" s="6" t="s">
        <v>34</v>
      </c>
      <c r="B14" s="37">
        <f t="shared" si="0"/>
        <v>865.26800000000003</v>
      </c>
      <c r="C14" s="33"/>
      <c r="D14" s="37">
        <f>IF( ISERROR(IND_chemie_gas_kWh/1000),0,IND_chemie_gas_kWh/1000)*0.902</f>
        <v>0</v>
      </c>
      <c r="E14" s="33">
        <f>C36*'E Balans VL '!I24/100/3.6*1000000</f>
        <v>3.2440319329224407</v>
      </c>
      <c r="F14" s="33">
        <f>C36*'E Balans VL '!L24/100/3.6*1000000+C36*'E Balans VL '!N24/100/3.6*1000000</f>
        <v>10.066486827377219</v>
      </c>
      <c r="G14" s="34"/>
      <c r="H14" s="33"/>
      <c r="I14" s="33"/>
      <c r="J14" s="40">
        <f>C36*'E Balans VL '!D24/100/3.6*1000000+C36*'E Balans VL '!E24/100/3.6*1000000</f>
        <v>0</v>
      </c>
      <c r="K14" s="33"/>
      <c r="L14" s="33"/>
      <c r="M14" s="33"/>
      <c r="N14" s="33">
        <f>C36*'E Balans VL '!Y24/100/3.6*1000000</f>
        <v>14.782688521008374</v>
      </c>
      <c r="O14" s="33"/>
      <c r="P14" s="33"/>
      <c r="R14" s="32"/>
    </row>
    <row r="15" spans="1:18">
      <c r="A15" s="6" t="s">
        <v>270</v>
      </c>
      <c r="B15" s="37">
        <f t="shared" si="0"/>
        <v>14181.891</v>
      </c>
      <c r="C15" s="33"/>
      <c r="D15" s="37">
        <f>IF( ISERROR(IND_rest_gas_kWh/1000),0,IND_rest_gas_kWh/1000)*0.902</f>
        <v>1184.9817540000001</v>
      </c>
      <c r="E15" s="33">
        <f>C37*'E Balans VL '!I15/100/3.6*1000000</f>
        <v>721.47690579445555</v>
      </c>
      <c r="F15" s="33">
        <f>C37*'E Balans VL '!L15/100/3.6*1000000+C37*'E Balans VL '!N15/100/3.6*1000000</f>
        <v>3232.586541417274</v>
      </c>
      <c r="G15" s="34"/>
      <c r="H15" s="33"/>
      <c r="I15" s="33"/>
      <c r="J15" s="40">
        <f>C37*'E Balans VL '!D15/100/3.6*1000000+C37*'E Balans VL '!E15/100/3.6*1000000</f>
        <v>59.497717886699121</v>
      </c>
      <c r="K15" s="33"/>
      <c r="L15" s="33"/>
      <c r="M15" s="33"/>
      <c r="N15" s="33">
        <f>C37*'E Balans VL '!Y15/100/3.6*1000000</f>
        <v>2664.5487101466738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32412.068999999996</v>
      </c>
      <c r="C18" s="21">
        <f>C5+C16</f>
        <v>0</v>
      </c>
      <c r="D18" s="21">
        <f>MAX((D5+D16),0)</f>
        <v>22579.823728000003</v>
      </c>
      <c r="E18" s="21">
        <f>MAX((E5+E16),0)</f>
        <v>2947.4624176296611</v>
      </c>
      <c r="F18" s="21">
        <f>MAX((F5+F16),0)</f>
        <v>17524.361740274791</v>
      </c>
      <c r="G18" s="21"/>
      <c r="H18" s="21"/>
      <c r="I18" s="21"/>
      <c r="J18" s="21">
        <f>MAX((J5+J16),0)</f>
        <v>155.19629093524264</v>
      </c>
      <c r="K18" s="21"/>
      <c r="L18" s="21">
        <f>MAX((L5+L16),0)</f>
        <v>0</v>
      </c>
      <c r="M18" s="21"/>
      <c r="N18" s="21">
        <f>MAX((N5+N16),0)</f>
        <v>7269.1497194348794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0.18093166479631081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5864.3696036628962</v>
      </c>
      <c r="C22" s="23">
        <f ca="1">C18*C20</f>
        <v>0</v>
      </c>
      <c r="D22" s="23">
        <f>D18*D20</f>
        <v>4561.1243930560013</v>
      </c>
      <c r="E22" s="23">
        <f>E18*E20</f>
        <v>669.07396880193312</v>
      </c>
      <c r="F22" s="23">
        <f>F18*F20</f>
        <v>4679.0045846533694</v>
      </c>
      <c r="G22" s="23"/>
      <c r="H22" s="23"/>
      <c r="I22" s="23"/>
      <c r="J22" s="23">
        <f>J18*J20</f>
        <v>54.939486991075896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3034.1729999999998</v>
      </c>
      <c r="C30" s="39">
        <f>IF(ISERROR(B30*3.6/1000000/'E Balans VL '!Z18*100),0,B30*3.6/1000000/'E Balans VL '!Z18*100)</f>
        <v>0.42468310506772744</v>
      </c>
      <c r="D30" s="237" t="s">
        <v>692</v>
      </c>
    </row>
    <row r="31" spans="1:18">
      <c r="A31" s="6" t="s">
        <v>33</v>
      </c>
      <c r="B31" s="37">
        <f>IF( ISERROR(IND_ander_ele_kWh/1000),0,IND_ander_ele_kWh/1000)</f>
        <v>7634.5219999999999</v>
      </c>
      <c r="C31" s="39">
        <f>IF(ISERROR(B31*3.6/1000000/'E Balans VL '!Z19*100),0,B31*3.6/1000000/'E Balans VL '!Z19*100)</f>
        <v>0.3341617894445732</v>
      </c>
      <c r="D31" s="237" t="s">
        <v>692</v>
      </c>
    </row>
    <row r="32" spans="1:18">
      <c r="A32" s="171" t="s">
        <v>41</v>
      </c>
      <c r="B32" s="37">
        <f>IF( ISERROR(IND_voed_ele_kWh/1000),0,IND_voed_ele_kWh/1000)</f>
        <v>3824.4780000000001</v>
      </c>
      <c r="C32" s="39">
        <f>IF(ISERROR(B32*3.6/1000000/'E Balans VL '!Z20*100),0,B32*3.6/1000000/'E Balans VL '!Z20*100)</f>
        <v>0.94681374815018537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2809.7939999999999</v>
      </c>
      <c r="C34" s="39">
        <f>IF(ISERROR(B34*3.6/1000000/'E Balans VL '!Z22*100),0,B34*3.6/1000000/'E Balans VL '!Z22*100)</f>
        <v>7.973049037657115E-2</v>
      </c>
      <c r="D34" s="237" t="s">
        <v>692</v>
      </c>
    </row>
    <row r="35" spans="1:5">
      <c r="A35" s="171" t="s">
        <v>39</v>
      </c>
      <c r="B35" s="37">
        <f>IF( ISERROR(IND_papier_ele_kWh/1000),0,IND_papier_ele_kWh/1000)</f>
        <v>61.942999999999998</v>
      </c>
      <c r="C35" s="39">
        <f>IF(ISERROR(B35*3.6/1000000/'E Balans VL '!Z22*100),0,B35*3.6/1000000/'E Balans VL '!Z22*100)</f>
        <v>1.7576896261419683E-3</v>
      </c>
      <c r="D35" s="237" t="s">
        <v>692</v>
      </c>
    </row>
    <row r="36" spans="1:5">
      <c r="A36" s="171" t="s">
        <v>34</v>
      </c>
      <c r="B36" s="37">
        <f>IF( ISERROR(IND_chemie_ele_kWh/1000),0,IND_chemie_ele_kWh/1000)</f>
        <v>865.26800000000003</v>
      </c>
      <c r="C36" s="39">
        <f>IF(ISERROR(B36*3.6/1000000/'E Balans VL '!Z24*100),0,B36*3.6/1000000/'E Balans VL '!Z24*100)</f>
        <v>2.2063013309506812E-2</v>
      </c>
      <c r="D36" s="237" t="s">
        <v>692</v>
      </c>
    </row>
    <row r="37" spans="1:5">
      <c r="A37" s="171" t="s">
        <v>270</v>
      </c>
      <c r="B37" s="37">
        <f>IF( ISERROR(IND_rest_ele_kWh/1000),0,IND_rest_ele_kWh/1000)</f>
        <v>14181.891</v>
      </c>
      <c r="C37" s="39">
        <f>IF(ISERROR(B37*3.6/1000000/'E Balans VL '!Z15*100),0,B37*3.6/1000000/'E Balans VL '!Z15*100)</f>
        <v>0.10515629372251467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3800.915</v>
      </c>
      <c r="C5" s="17">
        <f>'Eigen informatie GS &amp; warmtenet'!B60</f>
        <v>0</v>
      </c>
      <c r="D5" s="30">
        <f>IF(ISERROR(SUM(LB_lb_gas_kWh,LB_rest_gas_kWh,onbekend_gas_kWh)/1000),0,SUM(LB_lb_gas_kWh,LB_rest_gas_kWh,onbekend_gas_kWh)/1000)*0.902</f>
        <v>356.55789400000003</v>
      </c>
      <c r="E5" s="17">
        <f>B17*'E Balans VL '!I25/3.6*1000000/100</f>
        <v>35.205666699538895</v>
      </c>
      <c r="F5" s="17">
        <f>B17*('E Balans VL '!L25/3.6*1000000+'E Balans VL '!N25/3.6*1000000)/100</f>
        <v>9643.6454285644395</v>
      </c>
      <c r="G5" s="18"/>
      <c r="H5" s="17"/>
      <c r="I5" s="17"/>
      <c r="J5" s="17">
        <f>('E Balans VL '!D25+'E Balans VL '!E25)/3.6*1000000*landbouw!B17/100</f>
        <v>582.7226878352019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3800.915</v>
      </c>
      <c r="C8" s="21">
        <f>C5+C6</f>
        <v>0</v>
      </c>
      <c r="D8" s="21">
        <f>MAX((D5+D6),0)</f>
        <v>356.55789400000003</v>
      </c>
      <c r="E8" s="21">
        <f>MAX((E5+E6),0)</f>
        <v>35.205666699538895</v>
      </c>
      <c r="F8" s="21">
        <f>MAX((F5+F6),0)</f>
        <v>9643.6454285644395</v>
      </c>
      <c r="G8" s="21"/>
      <c r="H8" s="21"/>
      <c r="I8" s="21"/>
      <c r="J8" s="21">
        <f>MAX((J5+J6),0)</f>
        <v>582.7226878352019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0.18093166479631081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687.70587869926976</v>
      </c>
      <c r="C12" s="23">
        <f ca="1">C8*C10</f>
        <v>0</v>
      </c>
      <c r="D12" s="23">
        <f>D8*D10</f>
        <v>72.024694588000017</v>
      </c>
      <c r="E12" s="23">
        <f>E8*E10</f>
        <v>7.9916863407953294</v>
      </c>
      <c r="F12" s="23">
        <f>F8*F10</f>
        <v>2574.8533294267054</v>
      </c>
      <c r="G12" s="23"/>
      <c r="H12" s="23"/>
      <c r="I12" s="23"/>
      <c r="J12" s="23">
        <f>J8*J10</f>
        <v>206.28383149366147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0.54040951967151807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31.828338865370867</v>
      </c>
      <c r="C26" s="247">
        <f>B26*'GWP N2O_CH4'!B5</f>
        <v>668.39511617278822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4.147358532116848</v>
      </c>
      <c r="C27" s="247">
        <f>B27*'GWP N2O_CH4'!B5</f>
        <v>87.094529174453811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0.43904755307651899</v>
      </c>
      <c r="C28" s="247">
        <f>B28*'GWP N2O_CH4'!B4</f>
        <v>136.10474145372089</v>
      </c>
      <c r="D28" s="50"/>
    </row>
    <row r="29" spans="1:4">
      <c r="A29" s="41" t="s">
        <v>277</v>
      </c>
      <c r="B29" s="247">
        <f>B34*'ha_N2O bodem landbouw'!B4</f>
        <v>5.798933541288295</v>
      </c>
      <c r="C29" s="247">
        <f>B29*'GWP N2O_CH4'!B4</f>
        <v>1797.6693977993714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1.3005986316989738E-3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1.4558597833630048E-4</v>
      </c>
      <c r="C5" s="464" t="s">
        <v>211</v>
      </c>
      <c r="D5" s="449">
        <f>SUM(D6:D11)</f>
        <v>3.9315172703582158E-4</v>
      </c>
      <c r="E5" s="449">
        <f>SUM(E6:E11)</f>
        <v>2.8123365813939182E-3</v>
      </c>
      <c r="F5" s="462" t="s">
        <v>211</v>
      </c>
      <c r="G5" s="449">
        <f>SUM(G6:G11)</f>
        <v>0.8434762831765632</v>
      </c>
      <c r="H5" s="449">
        <f>SUM(H6:H11)</f>
        <v>0.15169187637899206</v>
      </c>
      <c r="I5" s="464" t="s">
        <v>211</v>
      </c>
      <c r="J5" s="464" t="s">
        <v>211</v>
      </c>
      <c r="K5" s="464" t="s">
        <v>211</v>
      </c>
      <c r="L5" s="464" t="s">
        <v>211</v>
      </c>
      <c r="M5" s="449">
        <f>SUM(M6:M11)</f>
        <v>5.3460890355389312E-2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3.9983405681730356E-5</v>
      </c>
      <c r="C6" s="450"/>
      <c r="D6" s="963">
        <f>vkm_2011_GW_PW*SUMIFS(TableVerdeelsleutelVkm[CNG],TableVerdeelsleutelVkm[Voertuigtype],"Lichte voertuigen")*SUMIFS(TableECFTransport[EnergieConsumptieFactor (PJ per km)],TableECFTransport[Index],CONCATENATE($A6,"_CNG_CNG"))</f>
        <v>9.2486019332456773E-5</v>
      </c>
      <c r="E6" s="963">
        <f>vkm_2011_GW_PW*SUMIFS(TableVerdeelsleutelVkm[LPG],TableVerdeelsleutelVkm[Voertuigtype],"Lichte voertuigen")*SUMIFS(TableECFTransport[EnergieConsumptieFactor (PJ per km)],TableECFTransport[Index],CONCATENATE($A6,"_LPG_LPG"))</f>
        <v>6.0221310715030142E-4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0.12510531767536406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3.5264603674051209E-2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8.3223675712990643E-3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2.6486129814349571E-2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9.0577753859835525E-6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1.5323727399570196E-3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2.6740534593950662E-5</v>
      </c>
      <c r="C8" s="450"/>
      <c r="D8" s="452">
        <f>vkm_2011_NGW_PW*SUMIFS(TableVerdeelsleutelVkm[CNG],TableVerdeelsleutelVkm[Voertuigtype],"Lichte voertuigen")*SUMIFS(TableECFTransport[EnergieConsumptieFactor (PJ per km)],TableECFTransport[Index],CONCATENATE($A8,"_CNG_CNG"))</f>
        <v>1.0940129673305015E-4</v>
      </c>
      <c r="E8" s="452">
        <f>vkm_2011_NGW_PW*SUMIFS(TableVerdeelsleutelVkm[LPG],TableVerdeelsleutelVkm[Voertuigtype],"Lichte voertuigen")*SUMIFS(TableECFTransport[EnergieConsumptieFactor (PJ per km)],TableECFTransport[Index],CONCATENATE($A8,"_LPG_LPG"))</f>
        <v>6.5742971800699767E-4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0.12767188543028321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4.0334824020945639E-2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8.6269195164773004E-3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7.585963013520481E-3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2.4547292646837507E-6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4.3888666397157053E-4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7.886203806061944E-5</v>
      </c>
      <c r="C10" s="450"/>
      <c r="D10" s="452">
        <f>vkm_2011_SW_PW*SUMIFS(TableVerdeelsleutelVkm[CNG],TableVerdeelsleutelVkm[Voertuigtype],"Lichte voertuigen")*SUMIFS(TableECFTransport[EnergieConsumptieFactor (PJ per km)],TableECFTransport[Index],CONCATENATE($A10,"_CNG_CNG"))</f>
        <v>1.9126441097031465E-4</v>
      </c>
      <c r="E10" s="452">
        <f>vkm_2011_SW_PW*SUMIFS(TableVerdeelsleutelVkm[LPG],TableVerdeelsleutelVkm[Voertuigtype],"Lichte voertuigen")*SUMIFS(TableECFTransport[EnergieConsumptieFactor (PJ per km)],TableECFTransport[Index],CONCATENATE($A10,"_LPG_LPG"))</f>
        <v>1.5526937562366191E-3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0.29039831411229095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7.5982814337187482E-2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1.913728821888323E-2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0.26622867313075488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9.812184215706303E-5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1.5403055644801131E-2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40.440549537861244</v>
      </c>
      <c r="C14" s="21"/>
      <c r="D14" s="21">
        <f t="shared" ref="D14:M14" si="0">((D5)*10^9/3600)+D12</f>
        <v>109.20881306550599</v>
      </c>
      <c r="E14" s="21">
        <f t="shared" si="0"/>
        <v>781.20460594275505</v>
      </c>
      <c r="F14" s="21"/>
      <c r="G14" s="21">
        <f t="shared" si="0"/>
        <v>234298.96754904531</v>
      </c>
      <c r="H14" s="21">
        <f t="shared" si="0"/>
        <v>42136.632327497791</v>
      </c>
      <c r="I14" s="21"/>
      <c r="J14" s="21"/>
      <c r="K14" s="21"/>
      <c r="L14" s="21"/>
      <c r="M14" s="21">
        <f t="shared" si="0"/>
        <v>14850.247320941475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0.18093166479631081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7.3169759531629133</v>
      </c>
      <c r="C18" s="23"/>
      <c r="D18" s="23">
        <f t="shared" ref="D18:M18" si="1">D14*D16</f>
        <v>22.060180239232213</v>
      </c>
      <c r="E18" s="23">
        <f t="shared" si="1"/>
        <v>177.3334455490054</v>
      </c>
      <c r="F18" s="23"/>
      <c r="G18" s="23">
        <f t="shared" si="1"/>
        <v>62557.824335595098</v>
      </c>
      <c r="H18" s="23">
        <f t="shared" si="1"/>
        <v>10492.02144954695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1.1903352500336513E-2</v>
      </c>
      <c r="H50" s="321">
        <f t="shared" si="2"/>
        <v>0</v>
      </c>
      <c r="I50" s="321">
        <f t="shared" si="2"/>
        <v>0</v>
      </c>
      <c r="J50" s="321">
        <f t="shared" si="2"/>
        <v>0</v>
      </c>
      <c r="K50" s="321">
        <f t="shared" si="2"/>
        <v>0</v>
      </c>
      <c r="L50" s="321">
        <f t="shared" si="2"/>
        <v>0</v>
      </c>
      <c r="M50" s="321">
        <f t="shared" si="2"/>
        <v>6.7881349294715955E-4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1.1903352500336513E-2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6.7881349294715955E-4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3306.4868056490313</v>
      </c>
      <c r="H54" s="21">
        <f t="shared" si="3"/>
        <v>0</v>
      </c>
      <c r="I54" s="21">
        <f t="shared" si="3"/>
        <v>0</v>
      </c>
      <c r="J54" s="21">
        <f t="shared" si="3"/>
        <v>0</v>
      </c>
      <c r="K54" s="21">
        <f t="shared" si="3"/>
        <v>0</v>
      </c>
      <c r="L54" s="21">
        <f t="shared" si="3"/>
        <v>0</v>
      </c>
      <c r="M54" s="21">
        <f t="shared" si="3"/>
        <v>188.55930359643321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0.18093166479631081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882.83197710829143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24209.046808658175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24209.046808658175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2019-01-01T21:34:27Z</dcterms:modified>
</cp:coreProperties>
</file>