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D12" s="1"/>
  <c r="E48" i="14" s="1"/>
  <c r="J15" i="16"/>
  <c r="L16"/>
  <c r="L18" s="1"/>
  <c r="F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J15" i="14"/>
  <c r="J23" s="1"/>
  <c r="B34" i="13"/>
  <c r="B46" s="1"/>
  <c r="E5" s="1"/>
  <c r="E8" s="1"/>
  <c r="E12" s="1"/>
  <c r="F37" i="14" s="1"/>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P31" s="1"/>
  <c r="F13" i="16"/>
  <c r="E13"/>
  <c r="N13"/>
  <c r="J13"/>
  <c r="N12"/>
  <c r="J12"/>
  <c r="F12"/>
  <c r="E12"/>
  <c r="Q11" i="48"/>
  <c r="O5"/>
  <c r="R9" i="14"/>
  <c r="O28" i="48"/>
  <c r="H22"/>
  <c r="K31"/>
  <c r="M25"/>
  <c r="M24"/>
  <c r="I31"/>
  <c r="C50" i="13"/>
  <c r="J5" s="1"/>
  <c r="J8" s="1"/>
  <c r="C5" i="48"/>
  <c r="G14" i="22" l="1"/>
  <c r="G9" i="48"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K13" i="14" l="1"/>
  <c r="E31" i="48"/>
  <c r="J8"/>
  <c r="J25" s="1"/>
  <c r="J31" s="1"/>
  <c r="N25"/>
  <c r="N14"/>
  <c r="N31"/>
  <c r="K41" i="14"/>
  <c r="K53" s="1"/>
  <c r="E14" i="48"/>
  <c r="K15" i="14"/>
  <c r="K23" s="1"/>
  <c r="H55"/>
  <c r="E55"/>
  <c r="C78"/>
  <c r="C81" s="1"/>
  <c r="R19"/>
  <c r="R20" s="1"/>
  <c r="H14" i="48"/>
  <c r="G31"/>
  <c r="H26"/>
  <c r="H31" s="1"/>
  <c r="F55" i="14"/>
  <c r="O53"/>
  <c r="G53"/>
  <c r="G55" s="1"/>
  <c r="O69" s="1"/>
  <c r="B9" i="6" s="1"/>
  <c r="B12" s="1"/>
  <c r="M53" i="14"/>
  <c r="M55" s="1"/>
  <c r="C12" i="13"/>
  <c r="D37" i="14" s="1"/>
  <c r="D41" s="1"/>
  <c r="C24" i="48"/>
  <c r="C28"/>
  <c r="C22"/>
  <c r="C25"/>
  <c r="C21"/>
  <c r="R13" i="14"/>
  <c r="R15" s="1"/>
  <c r="F25" i="48"/>
  <c r="F31" s="1"/>
  <c r="F14"/>
  <c r="J14" l="1"/>
  <c r="Q8"/>
  <c r="Q14" s="1"/>
  <c r="K55" i="14"/>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<sst xmlns="http://schemas.openxmlformats.org/spreadsheetml/2006/main" count="2137" uniqueCount="871">
  <si>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</si>
  <si>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</si>
  <si>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</si>
  <si>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</si>
  <si>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</si>
  <si>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</si>
  <si>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</si>
  <si>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</si>
  <si>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</si>
  <si>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</si>
  <si>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</si>
  <si>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</si>
  <si>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</si>
  <si>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</si>
  <si>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</si>
  <si>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</si>
  <si>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</si>
  <si>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</si>
  <si>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</si>
  <si>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</si>
  <si>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</si>
  <si>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</si>
  <si>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</si>
  <si>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</si>
  <si>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</si>
  <si>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</si>
  <si>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</si>
  <si>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</si>
  <si>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</si>
  <si>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</si>
  <si>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</si>
  <si>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</si>
  <si>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</si>
  <si>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</si>
  <si>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</si>
  <si>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</si>
  <si>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</si>
  <si>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</si>
  <si>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</si>
  <si>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</si>
  <si>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</si>
  <si>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</si>
  <si>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</si>
  <si>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</si>
  <si>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</si>
  <si>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</si>
  <si>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</si>
  <si>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</si>
  <si>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</si>
  <si>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</si>
  <si>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</si>
  <si>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</si>
  <si>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</si>
  <si>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</si>
  <si>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</si>
  <si>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</si>
  <si>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</si>
  <si>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</si>
  <si>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</si>
  <si>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</si>
  <si>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</si>
  <si>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</si>
  <si>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</si>
  <si>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</si>
  <si>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</si>
  <si>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</si>
  <si>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</si>
  <si>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</si>
  <si>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</si>
  <si>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</si>
  <si>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</si>
  <si>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</si>
  <si>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</si>
  <si>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</si>
  <si>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</si>
  <si>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</si>
  <si>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</si>
  <si>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</si>
  <si>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</si>
  <si>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</si>
  <si>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</si>
  <si>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</si>
  <si>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</si>
  <si>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</si>
  <si>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</si>
  <si>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</si>
  <si>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</si>
  <si>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</si>
  <si>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</si>
  <si>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</si>
  <si>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</si>
  <si>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</si>
  <si>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</si>
  <si>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</si>
  <si>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</si>
  <si>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</si>
  <si>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</si>
  <si>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</si>
  <si>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</si>
  <si>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</si>
  <si>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</si>
  <si>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</si>
  <si>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</si>
  <si>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</si>
  <si>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</si>
  <si>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</si>
  <si>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</si>
  <si>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</si>
  <si>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</si>
  <si>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</si>
  <si>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</si>
  <si>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</si>
  <si>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</si>
  <si>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</si>
  <si>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</si>
  <si>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</si>
  <si>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</si>
  <si>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</si>
  <si>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</si>
  <si>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</si>
  <si>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</si>
  <si>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</si>
  <si>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</si>
  <si>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</si>
  <si>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</si>
  <si>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</si>
  <si>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</si>
  <si>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</si>
  <si>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</si>
  <si>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</si>
  <si>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</si>
  <si>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</si>
  <si>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</si>
  <si>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</si>
  <si>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</si>
  <si>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</si>
  <si>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</si>
  <si>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</si>
  <si>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</si>
  <si>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</si>
  <si>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</si>
  <si>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</si>
  <si>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</si>
  <si>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</si>
  <si>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</si>
  <si>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</si>
  <si>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</si>
  <si>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</si>
  <si>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</si>
  <si>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</si>
  <si>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</si>
  <si>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</si>
  <si>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</si>
  <si>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</si>
  <si>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</si>
  <si>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</si>
  <si>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</si>
  <si>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</si>
  <si>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</si>
  <si>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</si>
  <si>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</si>
  <si>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</si>
  <si>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</si>
  <si>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</si>
  <si>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</si>
  <si>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</si>
  <si>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</si>
  <si>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</si>
  <si>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</si>
  <si>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</si>
  <si>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</si>
  <si>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</si>
  <si>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</si>
  <si>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</si>
  <si>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</si>
  <si>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</si>
  <si>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</si>
  <si>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</si>
  <si>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</si>
  <si>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</si>
  <si>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</si>
  <si>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</si>
  <si>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</si>
  <si>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</si>
  <si>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</si>
  <si>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</si>
  <si>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</si>
  <si>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</si>
  <si>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</si>
  <si>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</si>
  <si>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</si>
  <si>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</si>
  <si>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</si>
  <si>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</si>
  <si>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</si>
  <si>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</si>
  <si>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</si>
  <si>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</si>
  <si>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</si>
  <si>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</si>
  <si>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</si>
  <si>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</si>
  <si>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</si>
  <si>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</si>
  <si>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</si>
  <si>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</si>
  <si>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</si>
  <si>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</si>
  <si>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</si>
  <si>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</si>
  <si>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</si>
  <si>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</si>
  <si>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</si>
  <si>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</si>
  <si>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</si>
  <si>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</si>
  <si>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</si>
  <si>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</si>
  <si>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</si>
  <si>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</si>
  <si>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</si>
  <si>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</si>
  <si>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</si>
  <si>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</si>
  <si>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</si>
  <si>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</si>
  <si>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</si>
  <si>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</si>
  <si>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</si>
  <si>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</si>
  <si>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</si>
  <si>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</si>
  <si>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</si>
  <si>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</si>
  <si>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</si>
  <si>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</si>
  <si>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</si>
  <si>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</si>
  <si>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</si>
  <si>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</si>
  <si>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</si>
  <si>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</si>
  <si>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</si>
  <si>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</si>
  <si>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</si>
  <si>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</si>
  <si>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</si>
  <si>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</si>
  <si>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</si>
  <si>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</si>
  <si>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</si>
  <si>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</si>
  <si>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</si>
  <si>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</si>
  <si>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</si>
  <si>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</si>
  <si>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</si>
  <si>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</si>
  <si>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</si>
  <si>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</si>
  <si>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</si>
  <si>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</si>
  <si>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</si>
  <si>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</si>
  <si>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</si>
  <si>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</si>
  <si>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</si>
  <si>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</si>
  <si>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</si>
  <si>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</si>
  <si>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</si>
  <si>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</si>
  <si>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</si>
  <si>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</si>
  <si>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</si>
  <si>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</si>
  <si>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</si>
  <si>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</si>
  <si>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</si>
  <si>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</si>
  <si>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</si>
  <si>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</si>
  <si>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</si>
  <si>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</si>
  <si>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</si>
  <si>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</si>
  <si>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</si>
  <si>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</si>
  <si>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</si>
  <si>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</si>
  <si>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</si>
  <si>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</si>
  <si>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</si>
  <si>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</si>
  <si>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</si>
  <si>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</si>
  <si>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</si>
  <si>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</si>
  <si>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</si>
  <si>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</si>
  <si>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</si>
  <si>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</si>
  <si>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</si>
  <si>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</si>
  <si>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</si>
  <si>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</si>
  <si>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</si>
  <si>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</si>
  <si>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</si>
  <si>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</si>
  <si>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</si>
  <si>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</si>
  <si>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</si>
  <si>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</si>
  <si>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</si>
  <si>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</si>
  <si>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</si>
  <si>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</si>
  <si>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</si>
  <si>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</si>
  <si>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</si>
  <si>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</si>
  <si>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</si>
  <si>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</si>
  <si>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</si>
  <si>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</si>
  <si>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</si>
  <si>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</si>
  <si>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</si>
  <si>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</si>
  <si>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</si>
  <si>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</si>
  <si>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</si>
  <si>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</si>
  <si>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</si>
  <si>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</si>
  <si>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</si>
  <si>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</si>
  <si>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</si>
  <si>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</si>
  <si>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</si>
  <si>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</si>
  <si>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</si>
  <si>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</si>
  <si>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</si>
  <si>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</si>
  <si>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</si>
  <si>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</si>
  <si>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</si>
  <si>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</si>
  <si>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</si>
  <si>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</si>
  <si>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</si>
  <si>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</si>
  <si>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</si>
  <si>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</si>
  <si>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</si>
  <si>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</si>
  <si>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</si>
  <si>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</si>
  <si>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</si>
  <si>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</si>
  <si>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</si>
  <si>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</si>
  <si>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</si>
  <si>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</si>
  <si>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</si>
  <si>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</si>
  <si>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</si>
  <si>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</si>
  <si>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</si>
  <si>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</si>
  <si>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</si>
  <si>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</si>
  <si>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</si>
  <si>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</si>
  <si>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</si>
  <si>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</si>
  <si>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</si>
  <si>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</si>
  <si>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</si>
  <si>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</si>
  <si>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</si>
  <si>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</si>
  <si>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</si>
  <si>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</si>
  <si>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</si>
  <si>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</si>
  <si>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</si>
  <si>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</si>
  <si>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</si>
  <si>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</si>
  <si>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</si>
  <si>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</si>
  <si>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</si>
  <si>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</si>
  <si>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</si>
  <si>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</si>
  <si>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</si>
  <si>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</si>
  <si>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</si>
  <si>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</si>
  <si>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</si>
  <si>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</si>
  <si>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</si>
  <si>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</si>
  <si>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</si>
  <si>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</si>
  <si>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</si>
  <si>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</si>
  <si>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</si>
  <si>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</si>
  <si>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</si>
  <si>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</si>
  <si>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</si>
  <si>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</si>
  <si>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</si>
  <si>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</si>
  <si>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</si>
  <si>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</si>
  <si>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</si>
  <si>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</si>
  <si>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</si>
  <si>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</si>
  <si>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</si>
  <si>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</si>
  <si>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</si>
  <si>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</si>
  <si>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</si>
  <si>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</si>
  <si>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</si>
  <si>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</si>
  <si>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</si>
  <si>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</si>
  <si>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</si>
  <si>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</si>
  <si>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</si>
  <si>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</si>
  <si>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</si>
  <si>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</si>
  <si>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</si>
  <si>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</si>
  <si>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</si>
  <si>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</si>
  <si>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</si>
  <si>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</si>
  <si>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</si>
  <si>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</si>
  <si>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</si>
  <si>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</si>
  <si>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</si>
  <si>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</si>
  <si>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</si>
  <si>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</si>
  <si>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</si>
  <si>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</si>
  <si>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</si>
  <si>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</si>
  <si>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</si>
  <si>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</si>
  <si>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</si>
  <si>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</si>
  <si>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</si>
  <si>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</si>
  <si>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</si>
  <si>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</si>
  <si>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</si>
  <si>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</si>
  <si>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</si>
  <si>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</si>
  <si>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</si>
  <si>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</si>
  <si>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</si>
  <si>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</si>
  <si>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</si>
  <si>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</si>
  <si>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</si>
  <si>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</si>
  <si>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</si>
  <si>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</si>
  <si>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</si>
  <si>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</si>
  <si>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</si>
  <si>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</si>
  <si>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</si>
  <si>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</si>
  <si>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</si>
  <si>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</si>
  <si>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</si>
  <si>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</si>
  <si>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</si>
  <si>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</si>
  <si>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</si>
  <si>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</si>
  <si>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</si>
  <si>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</si>
  <si>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</si>
  <si>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</si>
  <si>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</si>
  <si>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</si>
  <si>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</si>
  <si>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</si>
  <si>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</si>
  <si>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</si>
  <si>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</si>
  <si>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</si>
  <si>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</si>
  <si>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</si>
  <si>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</si>
  <si>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</si>
  <si>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</si>
  <si>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</si>
  <si>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</si>
  <si>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</si>
  <si>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</si>
  <si>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</si>
  <si>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</si>
  <si>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</si>
  <si>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</si>
  <si>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</si>
  <si>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</si>
  <si>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</si>
  <si>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</si>
  <si>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</si>
  <si>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</si>
  <si>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</si>
  <si>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</si>
  <si>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</si>
  <si>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</si>
  <si>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</si>
  <si>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</si>
  <si>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</si>
  <si>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</si>
  <si>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</si>
  <si>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</si>
  <si>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</si>
  <si>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</si>
  <si>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</si>
  <si>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</si>
  <si>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</si>
  <si>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</si>
  <si>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</si>
  <si>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</si>
  <si>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</si>
  <si>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</si>
  <si>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</si>
  <si>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</si>
  <si>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</si>
  <si>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</si>
  <si>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</si>
  <si>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</si>
  <si>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</si>
  <si>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</si>
  <si>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</si>
  <si>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</si>
  <si>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</si>
  <si>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</si>
  <si>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</si>
  <si>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</si>
  <si>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</si>
  <si>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</si>
  <si>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</si>
  <si>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</si>
  <si>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</si>
  <si>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</si>
  <si>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</si>
  <si>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</si>
  <si>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</si>
  <si>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</si>
  <si>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</si>
  <si>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</si>
  <si>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</si>
  <si>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</si>
  <si>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</si>
  <si>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</si>
  <si>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</si>
  <si>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</si>
  <si>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</si>
  <si>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</si>
  <si>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</si>
  <si>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</si>
  <si>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</si>
  <si>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</si>
  <si>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</si>
  <si>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</si>
  <si>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</si>
  <si>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</si>
  <si>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</si>
  <si>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</si>
  <si>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</si>
  <si>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</si>
  <si>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</si>
  <si>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</si>
  <si>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</si>
  <si>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</si>
  <si>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</si>
  <si>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</si>
  <si>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</si>
  <si>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</si>
  <si>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</si>
  <si>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</si>
  <si>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</si>
  <si>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</si>
  <si>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</si>
  <si>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</si>
  <si>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</si>
  <si>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</si>
  <si>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</si>
  <si>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</si>
  <si>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</si>
  <si>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</si>
  <si>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</si>
  <si>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</si>
  <si>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</si>
  <si>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</si>
  <si>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</si>
  <si>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</si>
  <si>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</si>
  <si>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</si>
  <si>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</si>
  <si>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</si>
  <si>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</si>
  <si>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</si>
  <si>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</si>
  <si>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</si>
  <si>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</si>
  <si>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</si>
  <si>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</si>
  <si>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</si>
  <si>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</si>
  <si>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</si>
  <si>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</si>
  <si>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</si>
  <si>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</si>
  <si>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</si>
  <si>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</si>
  <si>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</si>
  <si>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</si>
  <si>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</si>
  <si>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</si>
  <si>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</si>
  <si>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</si>
  <si>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</si>
  <si>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</si>
  <si>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</si>
  <si>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</si>
  <si>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</si>
  <si>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</si>
  <si>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</si>
  <si>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</si>
  <si>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</si>
  <si>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</si>
  <si>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</si>
  <si>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</si>
  <si>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</si>
  <si>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</si>
  <si>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</si>
  <si>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</si>
  <si>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</si>
  <si>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</si>
  <si>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</si>
  <si>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</si>
  <si>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</si>
  <si>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</si>
  <si>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</si>
  <si>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</si>
  <si>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</si>
  <si>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</si>
  <si>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</si>
  <si>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</si>
  <si>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</si>
  <si>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</si>
  <si>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</si>
  <si>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</si>
  <si>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</si>
  <si>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</si>
  <si>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</si>
  <si>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</si>
  <si>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</si>
  <si>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</si>
  <si>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</si>
  <si>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</si>
  <si>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</si>
  <si>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</si>
  <si>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</si>
  <si>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</si>
  <si>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</si>
  <si>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</si>
  <si>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</si>
  <si>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</si>
  <si>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</si>
  <si>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</si>
  <si>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</si>
  <si>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</si>
  <si>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</si>
  <si>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</si>
  <si>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</si>
  <si>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</si>
  <si>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</si>
  <si>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</si>
  <si>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</si>
  <si>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</si>
  <si>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</si>
  <si>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</si>
  <si>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</si>
  <si>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</si>
  <si>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</si>
  <si>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</si>
  <si>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</si>
  <si>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</si>
  <si>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</si>
  <si>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</si>
  <si>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</si>
  <si>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</si>
  <si>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</si>
  <si>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</si>
  <si>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</si>
  <si>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</si>
  <si>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</si>
  <si>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</si>
  <si>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</si>
  <si>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</si>
  <si>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</si>
  <si>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</si>
  <si>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</si>
  <si>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</si>
  <si>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</si>
  <si>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</si>
  <si>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</si>
  <si>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</si>
  <si>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</si>
  <si>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</si>
  <si>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</si>
  <si>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</si>
  <si>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</si>
  <si>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</si>
  <si>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</si>
  <si>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</si>
  <si>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</si>
  <si>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</si>
  <si>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</si>
  <si>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</si>
  <si>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</si>
  <si>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</si>
  <si>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</si>
  <si>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</si>
  <si>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</si>
  <si>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</si>
  <si>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</si>
  <si>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</si>
  <si>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</si>
  <si>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</si>
  <si>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</si>
  <si>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</si>
  <si>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</si>
  <si>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</si>
  <si>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</si>
  <si>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</si>
  <si>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</si>
  <si>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</si>
  <si>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</si>
  <si>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</si>
  <si>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</si>
  <si>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</si>
  <si>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</si>
  <si>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</si>
  <si>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</si>
  <si>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</si>
  <si>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</si>
  <si>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</si>
  <si>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</si>
  <si>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</si>
  <si>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</si>
  <si>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</si>
  <si>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</si>
  <si>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</si>
  <si>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</si>
  <si>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</si>
  <si>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</si>
  <si>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</si>
  <si>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</si>
  <si>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</si>
  <si>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</si>
  <si>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</si>
  <si>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</si>
  <si>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</si>
  <si>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</si>
  <si>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</si>
  <si>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</si>
  <si>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</si>
  <si>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</si>
  <si>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</si>
  <si>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</si>
  <si>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</si>
  <si>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</si>
  <si>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</si>
  <si>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</si>
  <si>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</si>
  <si>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</si>
  <si>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</si>
  <si>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</si>
  <si>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</si>
  <si>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</si>
  <si>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</si>
  <si>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</si>
  <si>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</si>
  <si>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</si>
  <si>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</si>
  <si>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</si>
  <si>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</si>
  <si>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</si>
  <si>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</si>
  <si>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</si>
  <si>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</si>
  <si>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</si>
  <si>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</si>
  <si>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</si>
  <si>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</si>
  <si>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</si>
  <si>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</si>
  <si>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</si>
  <si>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</si>
  <si>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</si>
  <si>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</si>
  <si>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</si>
  <si>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</si>
  <si>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</si>
  <si>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</si>
  <si>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</si>
  <si>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</si>
  <si>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</si>
  <si>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</si>
  <si>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</si>
  <si>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</si>
  <si>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</si>
  <si>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</si>
  <si>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</si>
  <si>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</si>
  <si>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</si>
  <si>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</si>
  <si>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</si>
  <si>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</si>
  <si>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</si>
  <si>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</si>
  <si>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</si>
  <si>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</si>
  <si>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</si>
  <si>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</si>
  <si>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</si>
  <si>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</si>
  <si>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</si>
  <si>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</si>
  <si>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</si>
  <si>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</si>
  <si>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</si>
  <si>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</si>
  <si>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</si>
  <si>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</si>
  <si>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</si>
  <si>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</si>
  <si>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</si>
  <si>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</si>
  <si>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</si>
  <si>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71066</t>
  </si>
  <si>
    <t>ZONHOVEN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</si>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</sst>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182061.71775270489</c:v>
                </c:pt>
                <c:pt idx="1">
                  <c:v>43891.326079434395</c:v>
                </c:pt>
                <c:pt idx="2">
                  <c:v>1300.8489999999999</c:v>
                </c:pt>
                <c:pt idx="3">
                  <c:v>937.95053597301512</c:v>
                </c:pt>
                <c:pt idx="4">
                  <c:v>229757.70370816908</c:v>
                </c:pt>
                <c:pt idx="5">
                  <c:v>268276.29362015997</c:v>
                </c:pt>
                <c:pt idx="6">
                  <c:v>2593.5334802094662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604736"/>
        <c:axId val="165606528"/>
      </c:barChart>
      <c:catAx>
        <c:axId val="165604736"/>
        <c:scaling>
          <c:orientation val="minMax"/>
        </c:scaling>
        <c:axPos val="b"/>
        <c:numFmt formatCode="General" sourceLinked="0"/>
        <c:tickLblPos val="nextTo"/>
        <c:crossAx val="165606528"/>
        <c:crosses val="autoZero"/>
        <c:auto val="1"/>
        <c:lblAlgn val="ctr"/>
        <c:lblOffset val="100"/>
      </c:catAx>
      <c:valAx>
        <c:axId val="165606528"/>
        <c:scaling>
          <c:orientation val="minMax"/>
        </c:scaling>
        <c:axPos val="l"/>
        <c:majorGridlines/>
        <c:numFmt formatCode="#,##0" sourceLinked="1"/>
        <c:tickLblPos val="nextTo"/>
        <c:crossAx val="1656047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182061.71775270489</c:v>
                </c:pt>
                <c:pt idx="1">
                  <c:v>43891.326079434395</c:v>
                </c:pt>
                <c:pt idx="2">
                  <c:v>1300.8489999999999</c:v>
                </c:pt>
                <c:pt idx="3">
                  <c:v>937.95053597301512</c:v>
                </c:pt>
                <c:pt idx="4">
                  <c:v>229757.70370816908</c:v>
                </c:pt>
                <c:pt idx="5">
                  <c:v>268276.29362015997</c:v>
                </c:pt>
                <c:pt idx="6">
                  <c:v>2593.5334802094662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38821.054010171945</c:v>
                </c:pt>
                <c:pt idx="1">
                  <c:v>8733.9639180617323</c:v>
                </c:pt>
                <c:pt idx="2">
                  <c:v>262.4043909254255</c:v>
                </c:pt>
                <c:pt idx="3">
                  <c:v>230.5582038483065</c:v>
                </c:pt>
                <c:pt idx="4">
                  <c:v>47126.522412205064</c:v>
                </c:pt>
                <c:pt idx="5">
                  <c:v>67295.572916567908</c:v>
                </c:pt>
                <c:pt idx="6">
                  <c:v>655.11418689814593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9247360"/>
        <c:axId val="180117504"/>
      </c:barChart>
      <c:catAx>
        <c:axId val="179247360"/>
        <c:scaling>
          <c:orientation val="minMax"/>
        </c:scaling>
        <c:axPos val="b"/>
        <c:numFmt formatCode="General" sourceLinked="0"/>
        <c:tickLblPos val="nextTo"/>
        <c:crossAx val="180117504"/>
        <c:crosses val="autoZero"/>
        <c:auto val="1"/>
        <c:lblAlgn val="ctr"/>
        <c:lblOffset val="100"/>
      </c:catAx>
      <c:valAx>
        <c:axId val="180117504"/>
        <c:scaling>
          <c:orientation val="minMax"/>
        </c:scaling>
        <c:axPos val="l"/>
        <c:majorGridlines/>
        <c:numFmt formatCode="#,##0" sourceLinked="1"/>
        <c:tickLblPos val="nextTo"/>
        <c:crossAx val="179247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38821.054010171945</c:v>
                </c:pt>
                <c:pt idx="1">
                  <c:v>8733.9639180617323</c:v>
                </c:pt>
                <c:pt idx="2">
                  <c:v>262.4043909254255</c:v>
                </c:pt>
                <c:pt idx="3">
                  <c:v>230.5582038483065</c:v>
                </c:pt>
                <c:pt idx="4">
                  <c:v>47126.522412205064</c:v>
                </c:pt>
                <c:pt idx="5">
                  <c:v>67295.572916567908</c:v>
                </c:pt>
                <c:pt idx="6">
                  <c:v>655.11418689814593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71066</v>
      </c>
      <c r="B6" s="416"/>
      <c r="C6" s="417"/>
    </row>
    <row r="7" spans="1:7" s="414" customFormat="1" ht="15.75" customHeight="1">
      <c r="A7" s="418" t="str">
        <f>txtMunicipality</f>
        <v>ZONHOVEN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71066</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8270</v>
      </c>
      <c r="C9" s="342">
        <v>8865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862</v>
      </c>
    </row>
    <row r="15" spans="1:6">
      <c r="A15" s="348" t="s">
        <v>184</v>
      </c>
      <c r="B15" s="334">
        <v>0</v>
      </c>
    </row>
    <row r="16" spans="1:6">
      <c r="A16" s="348" t="s">
        <v>6</v>
      </c>
      <c r="B16" s="334">
        <v>0</v>
      </c>
    </row>
    <row r="17" spans="1:6">
      <c r="A17" s="348" t="s">
        <v>7</v>
      </c>
      <c r="B17" s="334">
        <v>175</v>
      </c>
    </row>
    <row r="18" spans="1:6">
      <c r="A18" s="348" t="s">
        <v>8</v>
      </c>
      <c r="B18" s="334">
        <v>167</v>
      </c>
    </row>
    <row r="19" spans="1:6">
      <c r="A19" s="348" t="s">
        <v>9</v>
      </c>
      <c r="B19" s="334">
        <v>151</v>
      </c>
    </row>
    <row r="20" spans="1:6">
      <c r="A20" s="348" t="s">
        <v>10</v>
      </c>
      <c r="B20" s="334">
        <v>169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102</v>
      </c>
    </row>
    <row r="27" spans="1:6">
      <c r="A27" s="348" t="s">
        <v>17</v>
      </c>
      <c r="B27" s="334">
        <v>0</v>
      </c>
    </row>
    <row r="28" spans="1:6" s="356" customFormat="1">
      <c r="A28" s="355" t="s">
        <v>18</v>
      </c>
      <c r="B28" s="355">
        <v>0</v>
      </c>
    </row>
    <row r="29" spans="1:6">
      <c r="A29" s="355" t="s">
        <v>865</v>
      </c>
      <c r="B29" s="355">
        <v>41</v>
      </c>
      <c r="C29" s="356"/>
      <c r="D29" s="356"/>
      <c r="E29" s="356"/>
      <c r="F29" s="356"/>
    </row>
    <row r="30" spans="1:6">
      <c r="A30" s="341" t="s">
        <v>866</v>
      </c>
      <c r="B30" s="341">
        <v>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19334</v>
      </c>
    </row>
    <row r="37" spans="1:6">
      <c r="A37" s="348" t="s">
        <v>25</v>
      </c>
      <c r="B37" s="348" t="s">
        <v>28</v>
      </c>
      <c r="C37" s="334">
        <v>0</v>
      </c>
      <c r="D37" s="334">
        <v>0</v>
      </c>
      <c r="E37" s="334">
        <v>0</v>
      </c>
      <c r="F37" s="334">
        <v>0</v>
      </c>
    </row>
    <row r="38" spans="1:6">
      <c r="A38" s="348" t="s">
        <v>25</v>
      </c>
      <c r="B38" s="348" t="s">
        <v>29</v>
      </c>
      <c r="C38" s="334">
        <v>0</v>
      </c>
      <c r="D38" s="334">
        <v>0</v>
      </c>
      <c r="E38" s="334">
        <v>1</v>
      </c>
      <c r="F38" s="334">
        <v>4925</v>
      </c>
    </row>
    <row r="39" spans="1:6">
      <c r="A39" s="348" t="s">
        <v>30</v>
      </c>
      <c r="B39" s="348" t="s">
        <v>31</v>
      </c>
      <c r="C39" s="334">
        <v>3895</v>
      </c>
      <c r="D39" s="334">
        <v>67778177</v>
      </c>
      <c r="E39" s="334">
        <v>8204</v>
      </c>
      <c r="F39" s="334">
        <v>32169270</v>
      </c>
    </row>
    <row r="40" spans="1:6">
      <c r="A40" s="348" t="s">
        <v>30</v>
      </c>
      <c r="B40" s="348" t="s">
        <v>29</v>
      </c>
      <c r="C40" s="334">
        <v>0</v>
      </c>
      <c r="D40" s="334">
        <v>0</v>
      </c>
      <c r="E40" s="334">
        <v>0</v>
      </c>
      <c r="F40" s="334">
        <v>0</v>
      </c>
    </row>
    <row r="41" spans="1:6">
      <c r="A41" s="348" t="s">
        <v>32</v>
      </c>
      <c r="B41" s="348" t="s">
        <v>33</v>
      </c>
      <c r="C41" s="334">
        <v>69</v>
      </c>
      <c r="D41" s="334">
        <v>1941850</v>
      </c>
      <c r="E41" s="334">
        <v>151</v>
      </c>
      <c r="F41" s="334">
        <v>1580629</v>
      </c>
    </row>
    <row r="42" spans="1:6">
      <c r="A42" s="348" t="s">
        <v>32</v>
      </c>
      <c r="B42" s="348" t="s">
        <v>34</v>
      </c>
      <c r="C42" s="334">
        <v>0</v>
      </c>
      <c r="D42" s="334">
        <v>0</v>
      </c>
      <c r="E42" s="334">
        <v>0</v>
      </c>
      <c r="F42" s="334">
        <v>0</v>
      </c>
    </row>
    <row r="43" spans="1:6">
      <c r="A43" s="348" t="s">
        <v>32</v>
      </c>
      <c r="B43" s="348" t="s">
        <v>35</v>
      </c>
      <c r="C43" s="334">
        <v>0</v>
      </c>
      <c r="D43" s="334">
        <v>0</v>
      </c>
      <c r="E43" s="334">
        <v>3</v>
      </c>
      <c r="F43" s="334">
        <v>895468</v>
      </c>
    </row>
    <row r="44" spans="1:6">
      <c r="A44" s="348" t="s">
        <v>32</v>
      </c>
      <c r="B44" s="348" t="s">
        <v>36</v>
      </c>
      <c r="C44" s="334">
        <v>9</v>
      </c>
      <c r="D44" s="334">
        <v>779287</v>
      </c>
      <c r="E44" s="334">
        <v>26</v>
      </c>
      <c r="F44" s="334">
        <v>14324330</v>
      </c>
    </row>
    <row r="45" spans="1:6">
      <c r="A45" s="348" t="s">
        <v>32</v>
      </c>
      <c r="B45" s="348" t="s">
        <v>37</v>
      </c>
      <c r="C45" s="334">
        <v>4</v>
      </c>
      <c r="D45" s="334">
        <v>77124</v>
      </c>
      <c r="E45" s="334">
        <v>7</v>
      </c>
      <c r="F45" s="334">
        <v>72135</v>
      </c>
    </row>
    <row r="46" spans="1:6">
      <c r="A46" s="348" t="s">
        <v>32</v>
      </c>
      <c r="B46" s="348" t="s">
        <v>38</v>
      </c>
      <c r="C46" s="334">
        <v>0</v>
      </c>
      <c r="D46" s="334">
        <v>0</v>
      </c>
      <c r="E46" s="334">
        <v>0</v>
      </c>
      <c r="F46" s="334">
        <v>0</v>
      </c>
    </row>
    <row r="47" spans="1:6">
      <c r="A47" s="348" t="s">
        <v>32</v>
      </c>
      <c r="B47" s="348" t="s">
        <v>39</v>
      </c>
      <c r="C47" s="334">
        <v>3</v>
      </c>
      <c r="D47" s="334">
        <v>128285</v>
      </c>
      <c r="E47" s="334">
        <v>5</v>
      </c>
      <c r="F47" s="334">
        <v>105351</v>
      </c>
    </row>
    <row r="48" spans="1:6">
      <c r="A48" s="348" t="s">
        <v>32</v>
      </c>
      <c r="B48" s="348" t="s">
        <v>29</v>
      </c>
      <c r="C48" s="334">
        <v>4</v>
      </c>
      <c r="D48" s="334">
        <v>412395</v>
      </c>
      <c r="E48" s="334">
        <v>1</v>
      </c>
      <c r="F48" s="334">
        <v>43356</v>
      </c>
    </row>
    <row r="49" spans="1:6">
      <c r="A49" s="348" t="s">
        <v>32</v>
      </c>
      <c r="B49" s="348" t="s">
        <v>40</v>
      </c>
      <c r="C49" s="334">
        <v>0</v>
      </c>
      <c r="D49" s="334">
        <v>0</v>
      </c>
      <c r="E49" s="334">
        <v>4</v>
      </c>
      <c r="F49" s="334">
        <v>30172</v>
      </c>
    </row>
    <row r="50" spans="1:6">
      <c r="A50" s="348" t="s">
        <v>32</v>
      </c>
      <c r="B50" s="348" t="s">
        <v>41</v>
      </c>
      <c r="C50" s="334">
        <v>5</v>
      </c>
      <c r="D50" s="334">
        <v>125620876</v>
      </c>
      <c r="E50" s="334">
        <v>16</v>
      </c>
      <c r="F50" s="334">
        <v>25770183</v>
      </c>
    </row>
    <row r="51" spans="1:6">
      <c r="A51" s="348" t="s">
        <v>42</v>
      </c>
      <c r="B51" s="348" t="s">
        <v>43</v>
      </c>
      <c r="C51" s="334">
        <v>0</v>
      </c>
      <c r="D51" s="334">
        <v>0</v>
      </c>
      <c r="E51" s="334">
        <v>21</v>
      </c>
      <c r="F51" s="334">
        <v>218378</v>
      </c>
    </row>
    <row r="52" spans="1:6">
      <c r="A52" s="348" t="s">
        <v>42</v>
      </c>
      <c r="B52" s="348" t="s">
        <v>29</v>
      </c>
      <c r="C52" s="334">
        <v>2</v>
      </c>
      <c r="D52" s="334">
        <v>144128</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84</v>
      </c>
      <c r="F54" s="334">
        <v>1300849</v>
      </c>
    </row>
    <row r="55" spans="1:6">
      <c r="A55" s="348" t="s">
        <v>46</v>
      </c>
      <c r="B55" s="348" t="s">
        <v>29</v>
      </c>
      <c r="C55" s="334">
        <v>0</v>
      </c>
      <c r="D55" s="334">
        <v>0</v>
      </c>
      <c r="E55" s="334">
        <v>0</v>
      </c>
      <c r="F55" s="334">
        <v>0</v>
      </c>
    </row>
    <row r="56" spans="1:6">
      <c r="A56" s="348" t="s">
        <v>48</v>
      </c>
      <c r="B56" s="348" t="s">
        <v>29</v>
      </c>
      <c r="C56" s="334">
        <v>54</v>
      </c>
      <c r="D56" s="334">
        <v>1435423</v>
      </c>
      <c r="E56" s="334">
        <v>156</v>
      </c>
      <c r="F56" s="334">
        <v>813577</v>
      </c>
    </row>
    <row r="57" spans="1:6">
      <c r="A57" s="348" t="s">
        <v>49</v>
      </c>
      <c r="B57" s="348" t="s">
        <v>50</v>
      </c>
      <c r="C57" s="334">
        <v>50</v>
      </c>
      <c r="D57" s="334">
        <v>1486035</v>
      </c>
      <c r="E57" s="334">
        <v>109</v>
      </c>
      <c r="F57" s="334">
        <v>1925818</v>
      </c>
    </row>
    <row r="58" spans="1:6">
      <c r="A58" s="348" t="s">
        <v>49</v>
      </c>
      <c r="B58" s="348" t="s">
        <v>51</v>
      </c>
      <c r="C58" s="334">
        <v>29</v>
      </c>
      <c r="D58" s="334">
        <v>2967119</v>
      </c>
      <c r="E58" s="334">
        <v>51</v>
      </c>
      <c r="F58" s="334">
        <v>1977219</v>
      </c>
    </row>
    <row r="59" spans="1:6">
      <c r="A59" s="348" t="s">
        <v>49</v>
      </c>
      <c r="B59" s="348" t="s">
        <v>52</v>
      </c>
      <c r="C59" s="334">
        <v>132</v>
      </c>
      <c r="D59" s="334">
        <v>10800064</v>
      </c>
      <c r="E59" s="334">
        <v>249</v>
      </c>
      <c r="F59" s="334">
        <v>8027502</v>
      </c>
    </row>
    <row r="60" spans="1:6">
      <c r="A60" s="348" t="s">
        <v>49</v>
      </c>
      <c r="B60" s="348" t="s">
        <v>53</v>
      </c>
      <c r="C60" s="334">
        <v>35</v>
      </c>
      <c r="D60" s="334">
        <v>1758241</v>
      </c>
      <c r="E60" s="334">
        <v>96</v>
      </c>
      <c r="F60" s="334">
        <v>2266882</v>
      </c>
    </row>
    <row r="61" spans="1:6">
      <c r="A61" s="348" t="s">
        <v>49</v>
      </c>
      <c r="B61" s="348" t="s">
        <v>54</v>
      </c>
      <c r="C61" s="334">
        <v>132</v>
      </c>
      <c r="D61" s="334">
        <v>3617145</v>
      </c>
      <c r="E61" s="334">
        <v>419</v>
      </c>
      <c r="F61" s="334">
        <v>3970653</v>
      </c>
    </row>
    <row r="62" spans="1:6">
      <c r="A62" s="348" t="s">
        <v>49</v>
      </c>
      <c r="B62" s="348" t="s">
        <v>55</v>
      </c>
      <c r="C62" s="334">
        <v>13</v>
      </c>
      <c r="D62" s="334">
        <v>2484503</v>
      </c>
      <c r="E62" s="334">
        <v>15</v>
      </c>
      <c r="F62" s="334">
        <v>388792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6</v>
      </c>
      <c r="D68" s="334">
        <v>217891</v>
      </c>
      <c r="E68" s="334">
        <v>9</v>
      </c>
      <c r="F68" s="334">
        <v>88232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58163892</v>
      </c>
      <c r="E73" s="477">
        <v>67516093.676789179</v>
      </c>
    </row>
    <row r="74" spans="1:6">
      <c r="A74" s="348" t="s">
        <v>64</v>
      </c>
      <c r="B74" s="348" t="s">
        <v>714</v>
      </c>
      <c r="C74" s="1288" t="s">
        <v>716</v>
      </c>
      <c r="D74" s="477">
        <v>6345640.9673248483</v>
      </c>
      <c r="E74" s="477">
        <v>7060902.17430868</v>
      </c>
    </row>
    <row r="75" spans="1:6">
      <c r="A75" s="348" t="s">
        <v>65</v>
      </c>
      <c r="B75" s="348" t="s">
        <v>713</v>
      </c>
      <c r="C75" s="1288" t="s">
        <v>717</v>
      </c>
      <c r="D75" s="477">
        <v>32683799</v>
      </c>
      <c r="E75" s="477">
        <v>37900525.834290467</v>
      </c>
    </row>
    <row r="76" spans="1:6">
      <c r="A76" s="348" t="s">
        <v>65</v>
      </c>
      <c r="B76" s="348" t="s">
        <v>714</v>
      </c>
      <c r="C76" s="1288" t="s">
        <v>718</v>
      </c>
      <c r="D76" s="477">
        <v>1381983.9673248488</v>
      </c>
      <c r="E76" s="477">
        <v>1587892.4268159526</v>
      </c>
    </row>
    <row r="77" spans="1:6">
      <c r="A77" s="348" t="s">
        <v>66</v>
      </c>
      <c r="B77" s="348" t="s">
        <v>713</v>
      </c>
      <c r="C77" s="1288" t="s">
        <v>719</v>
      </c>
      <c r="D77" s="477">
        <v>162471174</v>
      </c>
      <c r="E77" s="477">
        <v>183976036.38656995</v>
      </c>
    </row>
    <row r="78" spans="1:6">
      <c r="A78" s="341" t="s">
        <v>66</v>
      </c>
      <c r="B78" s="341" t="s">
        <v>714</v>
      </c>
      <c r="C78" s="341" t="s">
        <v>720</v>
      </c>
      <c r="D78" s="1284">
        <v>27941977</v>
      </c>
      <c r="E78" s="1284">
        <v>29989937.306278165</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693054.06535030273</v>
      </c>
      <c r="C83" s="477">
        <v>681239.64755568455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6495.5099881154374</v>
      </c>
    </row>
    <row r="92" spans="1:6">
      <c r="A92" s="341" t="s">
        <v>69</v>
      </c>
      <c r="B92" s="342">
        <v>2368.8267007547588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1089</v>
      </c>
    </row>
    <row r="98" spans="1:6">
      <c r="A98" s="348" t="s">
        <v>72</v>
      </c>
      <c r="B98" s="334">
        <v>2</v>
      </c>
    </row>
    <row r="99" spans="1:6">
      <c r="A99" s="348" t="s">
        <v>73</v>
      </c>
      <c r="B99" s="334">
        <v>66</v>
      </c>
    </row>
    <row r="100" spans="1:6">
      <c r="A100" s="348" t="s">
        <v>74</v>
      </c>
      <c r="B100" s="334">
        <v>340</v>
      </c>
    </row>
    <row r="101" spans="1:6">
      <c r="A101" s="348" t="s">
        <v>75</v>
      </c>
      <c r="B101" s="334">
        <v>51</v>
      </c>
    </row>
    <row r="102" spans="1:6">
      <c r="A102" s="348" t="s">
        <v>76</v>
      </c>
      <c r="B102" s="334">
        <v>60</v>
      </c>
    </row>
    <row r="103" spans="1:6">
      <c r="A103" s="348" t="s">
        <v>77</v>
      </c>
      <c r="B103" s="334">
        <v>141</v>
      </c>
    </row>
    <row r="104" spans="1:6">
      <c r="A104" s="348" t="s">
        <v>78</v>
      </c>
      <c r="B104" s="334">
        <v>5249</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46</v>
      </c>
      <c r="C123" s="334">
        <v>40</v>
      </c>
    </row>
    <row r="124" spans="1:6">
      <c r="A124" s="341" t="s">
        <v>89</v>
      </c>
      <c r="B124" s="334">
        <v>2</v>
      </c>
      <c r="C124" s="334">
        <v>9</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229</v>
      </c>
    </row>
    <row r="130" spans="1:6">
      <c r="A130" s="348" t="s">
        <v>295</v>
      </c>
      <c r="B130" s="334">
        <v>1</v>
      </c>
    </row>
    <row r="131" spans="1:6">
      <c r="A131" s="348" t="s">
        <v>296</v>
      </c>
      <c r="B131" s="334">
        <v>3</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101597.21523052356</v>
      </c>
      <c r="C3" s="43" t="s">
        <v>170</v>
      </c>
      <c r="D3" s="43"/>
      <c r="E3" s="154"/>
      <c r="F3" s="43"/>
      <c r="G3" s="43"/>
      <c r="H3" s="43"/>
      <c r="I3" s="43"/>
      <c r="J3" s="43"/>
      <c r="K3" s="96"/>
    </row>
    <row r="4" spans="1:11">
      <c r="A4" s="384" t="s">
        <v>171</v>
      </c>
      <c r="B4" s="49">
        <f>IF(ISERROR('SEAP template'!B69),0,'SEAP template'!B69)</f>
        <v>8864.3366888701967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0.20171779424470138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1300.8489999999999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1300.8489999999999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0.20171779424470138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262.4043909254255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32169.27</v>
      </c>
      <c r="C5" s="17">
        <f>IF(ISERROR('Eigen informatie GS &amp; warmtenet'!B57),0,'Eigen informatie GS &amp; warmtenet'!B57)</f>
        <v>0</v>
      </c>
      <c r="D5" s="30">
        <f>(SUM(HH_hh_gas_kWh,HH_rest_gas_kWh)/1000)*0.902</f>
        <v>61135.915653999997</v>
      </c>
      <c r="E5" s="17">
        <f>B46*B57</f>
        <v>3396.8581107187388</v>
      </c>
      <c r="F5" s="17">
        <f>B51*B62</f>
        <v>67045.46113397555</v>
      </c>
      <c r="G5" s="18"/>
      <c r="H5" s="17"/>
      <c r="I5" s="17"/>
      <c r="J5" s="17">
        <f>B50*B61+C50*C61</f>
        <v>0</v>
      </c>
      <c r="K5" s="17"/>
      <c r="L5" s="17"/>
      <c r="M5" s="17"/>
      <c r="N5" s="17">
        <f>B48*B59+C48*C59</f>
        <v>9954.0961992285102</v>
      </c>
      <c r="O5" s="17">
        <f>B69*B70*B71</f>
        <v>434.60666666666674</v>
      </c>
      <c r="P5" s="17">
        <f>B77*B78*B79/1000-B77*B78*B79/1000/B80</f>
        <v>1430</v>
      </c>
    </row>
    <row r="6" spans="1:16">
      <c r="A6" s="16" t="s">
        <v>631</v>
      </c>
      <c r="B6" s="844">
        <f>kWh_PV_kleiner_dan_10kW</f>
        <v>6495.5099881154374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38664.779988115435</v>
      </c>
      <c r="C8" s="21">
        <f>C5</f>
        <v>0</v>
      </c>
      <c r="D8" s="21">
        <f>D5</f>
        <v>61135.915653999997</v>
      </c>
      <c r="E8" s="21">
        <f>E5</f>
        <v>3396.8581107187388</v>
      </c>
      <c r="F8" s="21">
        <f>F5</f>
        <v>67045.46113397555</v>
      </c>
      <c r="G8" s="21"/>
      <c r="H8" s="21"/>
      <c r="I8" s="21"/>
      <c r="J8" s="21">
        <f>J5</f>
        <v>0</v>
      </c>
      <c r="K8" s="21"/>
      <c r="L8" s="21">
        <f>L5</f>
        <v>0</v>
      </c>
      <c r="M8" s="21">
        <f>M5</f>
        <v>0</v>
      </c>
      <c r="N8" s="21">
        <f>N5</f>
        <v>9954.0961992285102</v>
      </c>
      <c r="O8" s="21">
        <f>O5</f>
        <v>434.60666666666674</v>
      </c>
      <c r="P8" s="21">
        <f>P5</f>
        <v>1430</v>
      </c>
    </row>
    <row r="9" spans="1:16">
      <c r="B9" s="19"/>
      <c r="C9" s="19"/>
      <c r="D9" s="258"/>
      <c r="E9" s="19"/>
      <c r="F9" s="19"/>
      <c r="G9" s="19"/>
      <c r="H9" s="19"/>
      <c r="I9" s="19"/>
      <c r="J9" s="19"/>
      <c r="K9" s="19"/>
      <c r="L9" s="19"/>
      <c r="M9" s="19"/>
      <c r="N9" s="19"/>
      <c r="O9" s="19"/>
      <c r="P9" s="19"/>
    </row>
    <row r="10" spans="1:16">
      <c r="A10" s="24" t="s">
        <v>214</v>
      </c>
      <c r="B10" s="25">
        <f ca="1">'EF ele_warmte'!B12</f>
        <v>0.20171779424470138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7799.3741341593168</v>
      </c>
      <c r="C12" s="23">
        <f ca="1">C10*C8</f>
        <v>0</v>
      </c>
      <c r="D12" s="23">
        <f>D8*D10</f>
        <v>12349.454962108</v>
      </c>
      <c r="E12" s="23">
        <f>E10*E8</f>
        <v>771.08679113315372</v>
      </c>
      <c r="F12" s="23">
        <f>F10*F8</f>
        <v>17901.138122771474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1089</v>
      </c>
      <c r="C18" s="166" t="s">
        <v>111</v>
      </c>
      <c r="D18" s="228"/>
      <c r="E18" s="15"/>
    </row>
    <row r="19" spans="1:7">
      <c r="A19" s="171" t="s">
        <v>72</v>
      </c>
      <c r="B19" s="37">
        <f>aantalw2001_ander</f>
        <v>2</v>
      </c>
      <c r="C19" s="166" t="s">
        <v>111</v>
      </c>
      <c r="D19" s="229"/>
      <c r="E19" s="15"/>
    </row>
    <row r="20" spans="1:7">
      <c r="A20" s="171" t="s">
        <v>73</v>
      </c>
      <c r="B20" s="37">
        <f>aantalw2001_propaan</f>
        <v>66</v>
      </c>
      <c r="C20" s="167">
        <f>IF(ISERROR(B20/SUM($B$20,$B$21,$B$22)*100),0,B20/SUM($B$20,$B$21,$B$22)*100)</f>
        <v>14.442013129102845</v>
      </c>
      <c r="D20" s="229"/>
      <c r="E20" s="15"/>
    </row>
    <row r="21" spans="1:7">
      <c r="A21" s="171" t="s">
        <v>74</v>
      </c>
      <c r="B21" s="37">
        <f>aantalw2001_elektriciteit</f>
        <v>340</v>
      </c>
      <c r="C21" s="167">
        <f>IF(ISERROR(B21/SUM($B$20,$B$21,$B$22)*100),0,B21/SUM($B$20,$B$21,$B$22)*100)</f>
        <v>74.398249452954047</v>
      </c>
      <c r="D21" s="229"/>
      <c r="E21" s="15"/>
    </row>
    <row r="22" spans="1:7">
      <c r="A22" s="171" t="s">
        <v>75</v>
      </c>
      <c r="B22" s="37">
        <f>aantalw2001_hout</f>
        <v>51</v>
      </c>
      <c r="C22" s="167">
        <f>IF(ISERROR(B22/SUM($B$20,$B$21,$B$22)*100),0,B22/SUM($B$20,$B$21,$B$22)*100)</f>
        <v>11.159737417943107</v>
      </c>
      <c r="D22" s="229"/>
      <c r="E22" s="15"/>
    </row>
    <row r="23" spans="1:7">
      <c r="A23" s="171" t="s">
        <v>76</v>
      </c>
      <c r="B23" s="37">
        <f>aantalw2001_niet_gespec</f>
        <v>60</v>
      </c>
      <c r="C23" s="166" t="s">
        <v>111</v>
      </c>
      <c r="D23" s="228"/>
      <c r="E23" s="15"/>
    </row>
    <row r="24" spans="1:7">
      <c r="A24" s="171" t="s">
        <v>77</v>
      </c>
      <c r="B24" s="37">
        <f>aantalw2001_steenkool</f>
        <v>141</v>
      </c>
      <c r="C24" s="166" t="s">
        <v>111</v>
      </c>
      <c r="D24" s="229"/>
      <c r="E24" s="15"/>
    </row>
    <row r="25" spans="1:7">
      <c r="A25" s="171" t="s">
        <v>78</v>
      </c>
      <c r="B25" s="37">
        <f>aantalw2001_stookolie</f>
        <v>5249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8270</v>
      </c>
      <c r="C28" s="36"/>
      <c r="D28" s="228"/>
    </row>
    <row r="29" spans="1:7" s="15" customFormat="1">
      <c r="A29" s="230" t="s">
        <v>741</v>
      </c>
      <c r="B29" s="37">
        <f>SUM(HH_hh_gas_aantal,HH_rest_gas_aantal)</f>
        <v>3895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3895</v>
      </c>
      <c r="C32" s="167">
        <f>IF(ISERROR(B32/SUM($B$32,$B$34,$B$35,$B$36,$B$38,$B$39)*100),0,B32/SUM($B$32,$B$34,$B$35,$B$36,$B$38,$B$39)*100)</f>
        <v>47.528981086028068</v>
      </c>
      <c r="D32" s="233"/>
      <c r="G32" s="15"/>
    </row>
    <row r="33" spans="1:7">
      <c r="A33" s="171" t="s">
        <v>72</v>
      </c>
      <c r="B33" s="34" t="s">
        <v>111</v>
      </c>
      <c r="C33" s="167"/>
      <c r="D33" s="233"/>
      <c r="G33" s="15"/>
    </row>
    <row r="34" spans="1:7">
      <c r="A34" s="171" t="s">
        <v>73</v>
      </c>
      <c r="B34" s="33">
        <f>IF((($B$28-$B$32-$B$39-$B$77-$B$38)*C20/100)&lt;0,0,($B$28-$B$32-$B$39-$B$77-$B$38)*C20/100)</f>
        <v>227.66389496717727</v>
      </c>
      <c r="C34" s="167">
        <f>IF(ISERROR(B34/SUM($B$32,$B$34,$B$35,$B$36,$B$38,$B$39)*100),0,B34/SUM($B$32,$B$34,$B$35,$B$36,$B$38,$B$39)*100)</f>
        <v>2.7780829160119249</v>
      </c>
      <c r="D34" s="233"/>
      <c r="G34" s="15"/>
    </row>
    <row r="35" spans="1:7">
      <c r="A35" s="171" t="s">
        <v>74</v>
      </c>
      <c r="B35" s="33">
        <f>IF((($B$28-$B$32-$B$39-$B$77-$B$38)*C21/100)&lt;0,0,($B$28-$B$32-$B$39-$B$77-$B$38)*C21/100)</f>
        <v>1172.8140043763676</v>
      </c>
      <c r="C35" s="167">
        <f>IF(ISERROR(B35/SUM($B$32,$B$34,$B$35,$B$36,$B$38,$B$39)*100),0,B35/SUM($B$32,$B$34,$B$35,$B$36,$B$38,$B$39)*100)</f>
        <v>14.311336234000823</v>
      </c>
      <c r="D35" s="233"/>
      <c r="G35" s="15"/>
    </row>
    <row r="36" spans="1:7">
      <c r="A36" s="171" t="s">
        <v>75</v>
      </c>
      <c r="B36" s="33">
        <f>IF((($B$28-$B$32-$B$39-$B$77-$B$38)*C22/100)&lt;0,0,($B$28-$B$32-$B$39-$B$77-$B$38)*C22/100)</f>
        <v>175.92210065645514</v>
      </c>
      <c r="C36" s="167">
        <f>IF(ISERROR(B36/SUM($B$32,$B$34,$B$35,$B$36,$B$38,$B$39)*100),0,B36/SUM($B$32,$B$34,$B$35,$B$36,$B$38,$B$39)*100)</f>
        <v>2.1467004351001235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2723.6</v>
      </c>
      <c r="C39" s="167">
        <f>IF(ISERROR(B39/SUM($B$32,$B$34,$B$35,$B$36,$B$38,$B$39)*100),0,B39/SUM($B$32,$B$34,$B$35,$B$36,$B$38,$B$39)*100)</f>
        <v>33.234899328859058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3895</v>
      </c>
      <c r="C44" s="34" t="s">
        <v>111</v>
      </c>
      <c r="D44" s="174"/>
    </row>
    <row r="45" spans="1:7">
      <c r="A45" s="171" t="s">
        <v>72</v>
      </c>
      <c r="B45" s="33" t="str">
        <f t="shared" si="0"/>
        <v>-</v>
      </c>
      <c r="C45" s="34" t="s">
        <v>111</v>
      </c>
      <c r="D45" s="174"/>
    </row>
    <row r="46" spans="1:7">
      <c r="A46" s="171" t="s">
        <v>73</v>
      </c>
      <c r="B46" s="33">
        <f t="shared" si="0"/>
        <v>227.66389496717727</v>
      </c>
      <c r="C46" s="34" t="s">
        <v>111</v>
      </c>
      <c r="D46" s="174"/>
    </row>
    <row r="47" spans="1:7">
      <c r="A47" s="171" t="s">
        <v>74</v>
      </c>
      <c r="B47" s="33">
        <f t="shared" si="0"/>
        <v>1172.8140043763676</v>
      </c>
      <c r="C47" s="34" t="s">
        <v>111</v>
      </c>
      <c r="D47" s="174"/>
    </row>
    <row r="48" spans="1:7">
      <c r="A48" s="171" t="s">
        <v>75</v>
      </c>
      <c r="B48" s="33">
        <f t="shared" si="0"/>
        <v>175.92210065645514</v>
      </c>
      <c r="C48" s="33">
        <f>B48*10</f>
        <v>1759.2210065645513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2723.6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278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18556.866000000002</v>
      </c>
      <c r="C5" s="17">
        <f>IF(ISERROR('Eigen informatie GS &amp; warmtenet'!B58),0,'Eigen informatie GS &amp; warmtenet'!B58)</f>
        <v>0</v>
      </c>
      <c r="D5" s="30">
        <f>SUM(D6:D12)</f>
        <v>20848.022514</v>
      </c>
      <c r="E5" s="17">
        <f>SUM(E6:E12)</f>
        <v>201.32562331361783</v>
      </c>
      <c r="F5" s="17">
        <f>SUM(F6:F12)</f>
        <v>2747.9864274421243</v>
      </c>
      <c r="G5" s="18"/>
      <c r="H5" s="17"/>
      <c r="I5" s="17"/>
      <c r="J5" s="17">
        <f>SUM(J6:J12)</f>
        <v>0</v>
      </c>
      <c r="K5" s="17"/>
      <c r="L5" s="17"/>
      <c r="M5" s="17"/>
      <c r="N5" s="17">
        <f>SUM(N6:N12)</f>
        <v>1478.3621813453153</v>
      </c>
      <c r="O5" s="17">
        <f>B38*B39*B40</f>
        <v>1.5633333333333335</v>
      </c>
      <c r="P5" s="17">
        <f>B46*B47*B48/1000-B46*B47*B48/1000/B49</f>
        <v>57.2</v>
      </c>
      <c r="R5" s="32"/>
    </row>
    <row r="6" spans="1:18">
      <c r="A6" s="32" t="s">
        <v>54</v>
      </c>
      <c r="B6" s="37">
        <f>B26</f>
        <v>3970.6529999999998</v>
      </c>
      <c r="C6" s="33"/>
      <c r="D6" s="37">
        <f>IF(ISERROR(TER_kantoor_gas_kWh/1000),0,TER_kantoor_gas_kWh/1000)*0.902</f>
        <v>3262.6647900000003</v>
      </c>
      <c r="E6" s="33">
        <f>$C$26*'E Balans VL '!I12/100/3.6*1000000</f>
        <v>11.503564318400262</v>
      </c>
      <c r="F6" s="33">
        <f>$C$26*('E Balans VL '!L12+'E Balans VL '!N12)/100/3.6*1000000</f>
        <v>449.39043933185968</v>
      </c>
      <c r="G6" s="34"/>
      <c r="H6" s="33"/>
      <c r="I6" s="33"/>
      <c r="J6" s="33">
        <f>$C$26*('E Balans VL '!D12+'E Balans VL '!E12)/100/3.6*1000000</f>
        <v>0</v>
      </c>
      <c r="K6" s="33"/>
      <c r="L6" s="33"/>
      <c r="M6" s="33"/>
      <c r="N6" s="33">
        <f>$C$26*'E Balans VL '!Y12/100/3.6*1000000</f>
        <v>39.743310822240353</v>
      </c>
      <c r="O6" s="33"/>
      <c r="P6" s="33"/>
      <c r="R6" s="32"/>
    </row>
    <row r="7" spans="1:18">
      <c r="A7" s="32" t="s">
        <v>53</v>
      </c>
      <c r="B7" s="37">
        <f t="shared" ref="B7:B12" si="0">B27</f>
        <v>2266.8820000000001</v>
      </c>
      <c r="C7" s="33"/>
      <c r="D7" s="37">
        <f>IF(ISERROR(TER_horeca_gas_kWh/1000),0,TER_horeca_gas_kWh/1000)*0.902</f>
        <v>1585.9333819999999</v>
      </c>
      <c r="E7" s="33">
        <f>$C$27*'E Balans VL '!I9/100/3.6*1000000</f>
        <v>95.157372816867081</v>
      </c>
      <c r="F7" s="33">
        <f>$C$27*('E Balans VL '!L9+'E Balans VL '!N9)/100/3.6*1000000</f>
        <v>487.08608449367318</v>
      </c>
      <c r="G7" s="34"/>
      <c r="H7" s="33"/>
      <c r="I7" s="33"/>
      <c r="J7" s="33">
        <f>$C$27*('E Balans VL '!D9+'E Balans VL '!E9)/100/3.6*1000000</f>
        <v>0</v>
      </c>
      <c r="K7" s="33"/>
      <c r="L7" s="33"/>
      <c r="M7" s="33"/>
      <c r="N7" s="33">
        <f>$C$27*'E Balans VL '!Y9/100/3.6*1000000</f>
        <v>0.58415566679772679</v>
      </c>
      <c r="O7" s="33"/>
      <c r="P7" s="33"/>
      <c r="R7" s="32"/>
    </row>
    <row r="8" spans="1:18">
      <c r="A8" s="6" t="s">
        <v>52</v>
      </c>
      <c r="B8" s="37">
        <f t="shared" si="0"/>
        <v>8027.5020000000004</v>
      </c>
      <c r="C8" s="33"/>
      <c r="D8" s="37">
        <f>IF(ISERROR(TER_handel_gas_kWh/1000),0,TER_handel_gas_kWh/1000)*0.902</f>
        <v>9741.6577280000001</v>
      </c>
      <c r="E8" s="33">
        <f>$C$28*'E Balans VL '!I13/100/3.6*1000000</f>
        <v>86.222052579993701</v>
      </c>
      <c r="F8" s="33">
        <f>$C$28*('E Balans VL '!L13+'E Balans VL '!N13)/100/3.6*1000000</f>
        <v>1039.2264236449666</v>
      </c>
      <c r="G8" s="34"/>
      <c r="H8" s="33"/>
      <c r="I8" s="33"/>
      <c r="J8" s="33">
        <f>$C$28*('E Balans VL '!D13+'E Balans VL '!E13)/100/3.6*1000000</f>
        <v>0</v>
      </c>
      <c r="K8" s="33"/>
      <c r="L8" s="33"/>
      <c r="M8" s="33"/>
      <c r="N8" s="33">
        <f>$C$28*'E Balans VL '!Y13/100/3.6*1000000</f>
        <v>65.119534544667175</v>
      </c>
      <c r="O8" s="33"/>
      <c r="P8" s="33"/>
      <c r="R8" s="32"/>
    </row>
    <row r="9" spans="1:18">
      <c r="A9" s="32" t="s">
        <v>51</v>
      </c>
      <c r="B9" s="37">
        <f t="shared" si="0"/>
        <v>1977.2190000000001</v>
      </c>
      <c r="C9" s="33"/>
      <c r="D9" s="37">
        <f>IF(ISERROR(TER_gezond_gas_kWh/1000),0,TER_gezond_gas_kWh/1000)*0.902</f>
        <v>2676.3413380000002</v>
      </c>
      <c r="E9" s="33">
        <f>$C$29*'E Balans VL '!I10/100/3.6*1000000</f>
        <v>1.5739942070988304</v>
      </c>
      <c r="F9" s="33">
        <f>$C$29*('E Balans VL '!L10+'E Balans VL '!N10)/100/3.6*1000000</f>
        <v>240.35954283816665</v>
      </c>
      <c r="G9" s="34"/>
      <c r="H9" s="33"/>
      <c r="I9" s="33"/>
      <c r="J9" s="33">
        <f>$C$29*('E Balans VL '!D10+'E Balans VL '!E10)/100/3.6*1000000</f>
        <v>0</v>
      </c>
      <c r="K9" s="33"/>
      <c r="L9" s="33"/>
      <c r="M9" s="33"/>
      <c r="N9" s="33">
        <f>$C$29*'E Balans VL '!Y10/100/3.6*1000000</f>
        <v>15.971451252243508</v>
      </c>
      <c r="O9" s="33"/>
      <c r="P9" s="33"/>
      <c r="R9" s="32"/>
    </row>
    <row r="10" spans="1:18">
      <c r="A10" s="32" t="s">
        <v>50</v>
      </c>
      <c r="B10" s="37">
        <f t="shared" si="0"/>
        <v>1925.818</v>
      </c>
      <c r="C10" s="33"/>
      <c r="D10" s="37">
        <f>IF(ISERROR(TER_ander_gas_kWh/1000),0,TER_ander_gas_kWh/1000)*0.902</f>
        <v>1340.4035700000002</v>
      </c>
      <c r="E10" s="33">
        <f>$C$30*'E Balans VL '!I14/100/3.6*1000000</f>
        <v>6.5998794555092104</v>
      </c>
      <c r="F10" s="33">
        <f>$C$30*('E Balans VL '!L14+'E Balans VL '!N14)/100/3.6*1000000</f>
        <v>430.14948517476608</v>
      </c>
      <c r="G10" s="34"/>
      <c r="H10" s="33"/>
      <c r="I10" s="33"/>
      <c r="J10" s="33">
        <f>$C$30*('E Balans VL '!D14+'E Balans VL '!E14)/100/3.6*1000000</f>
        <v>0</v>
      </c>
      <c r="K10" s="33"/>
      <c r="L10" s="33"/>
      <c r="M10" s="33"/>
      <c r="N10" s="33">
        <f>$C$30*'E Balans VL '!Y14/100/3.6*1000000</f>
        <v>1356.556719738086</v>
      </c>
      <c r="O10" s="33"/>
      <c r="P10" s="33"/>
      <c r="R10" s="32"/>
    </row>
    <row r="11" spans="1:18">
      <c r="A11" s="32" t="s">
        <v>55</v>
      </c>
      <c r="B11" s="37">
        <f t="shared" si="0"/>
        <v>388.79199999999997</v>
      </c>
      <c r="C11" s="33"/>
      <c r="D11" s="37">
        <f>IF(ISERROR(TER_onderwijs_gas_kWh/1000),0,TER_onderwijs_gas_kWh/1000)*0.902</f>
        <v>2241.021706</v>
      </c>
      <c r="E11" s="33">
        <f>$C$31*'E Balans VL '!I11/100/3.6*1000000</f>
        <v>0.26875993574875701</v>
      </c>
      <c r="F11" s="33">
        <f>$C$31*('E Balans VL '!L11+'E Balans VL '!N11)/100/3.6*1000000</f>
        <v>101.77445195869198</v>
      </c>
      <c r="G11" s="34"/>
      <c r="H11" s="33"/>
      <c r="I11" s="33"/>
      <c r="J11" s="33">
        <f>$C$31*('E Balans VL '!D11+'E Balans VL '!E11)/100/3.6*1000000</f>
        <v>0</v>
      </c>
      <c r="K11" s="33"/>
      <c r="L11" s="33"/>
      <c r="M11" s="33"/>
      <c r="N11" s="33">
        <f>$C$31*'E Balans VL '!Y11/100/3.6*1000000</f>
        <v>0.38700932128066179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18556.866000000002</v>
      </c>
      <c r="C16" s="21">
        <f t="shared" ca="1" si="1"/>
        <v>0</v>
      </c>
      <c r="D16" s="21">
        <f t="shared" ca="1" si="1"/>
        <v>20848.022514</v>
      </c>
      <c r="E16" s="21">
        <f t="shared" si="1"/>
        <v>201.32562331361783</v>
      </c>
      <c r="F16" s="21">
        <f t="shared" ca="1" si="1"/>
        <v>2747.9864274421243</v>
      </c>
      <c r="G16" s="21">
        <f t="shared" si="1"/>
        <v>0</v>
      </c>
      <c r="H16" s="21">
        <f t="shared" si="1"/>
        <v>0</v>
      </c>
      <c r="I16" s="21">
        <f t="shared" si="1"/>
        <v>0</v>
      </c>
      <c r="J16" s="21">
        <f t="shared" si="1"/>
        <v>0</v>
      </c>
      <c r="K16" s="21">
        <f t="shared" si="1"/>
        <v>0</v>
      </c>
      <c r="L16" s="21">
        <f t="shared" ca="1" si="1"/>
        <v>0</v>
      </c>
      <c r="M16" s="21">
        <f t="shared" si="1"/>
        <v>0</v>
      </c>
      <c r="N16" s="21">
        <f t="shared" ca="1" si="1"/>
        <v>1478.3621813453153</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0.20171779424470138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3743.2500776144948</v>
      </c>
      <c r="C20" s="23">
        <f t="shared" ref="C20:P20" ca="1" si="2">C16*C18</f>
        <v>0</v>
      </c>
      <c r="D20" s="23">
        <f t="shared" ca="1" si="2"/>
        <v>4211.3005478280002</v>
      </c>
      <c r="E20" s="23">
        <f t="shared" si="2"/>
        <v>45.700916492191247</v>
      </c>
      <c r="F20" s="23">
        <f t="shared" ca="1" si="2"/>
        <v>733.71237612704726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3970.6529999999998</v>
      </c>
      <c r="C26" s="39">
        <f>IF(ISERROR(B26*3.6/1000000/'E Balans VL '!Z12*100),0,B26*3.6/1000000/'E Balans VL '!Z12*100)</f>
        <v>8.7219983679551472E-2</v>
      </c>
      <c r="D26" s="237" t="s">
        <v>692</v>
      </c>
      <c r="F26" s="6"/>
    </row>
    <row r="27" spans="1:18">
      <c r="A27" s="231" t="s">
        <v>53</v>
      </c>
      <c r="B27" s="33">
        <f>IF(ISERROR(TER_horeca_ele_kWh/1000),0,TER_horeca_ele_kWh/1000)</f>
        <v>2266.8820000000001</v>
      </c>
      <c r="C27" s="39">
        <f>IF(ISERROR(B27*3.6/1000000/'E Balans VL '!Z9*100),0,B27*3.6/1000000/'E Balans VL '!Z9*100)</f>
        <v>0.18216656524666561</v>
      </c>
      <c r="D27" s="237" t="s">
        <v>692</v>
      </c>
      <c r="F27" s="6"/>
    </row>
    <row r="28" spans="1:18">
      <c r="A28" s="171" t="s">
        <v>52</v>
      </c>
      <c r="B28" s="33">
        <f>IF(ISERROR(TER_handel_ele_kWh/1000),0,TER_handel_ele_kWh/1000)</f>
        <v>8027.5020000000004</v>
      </c>
      <c r="C28" s="39">
        <f>IF(ISERROR(B28*3.6/1000000/'E Balans VL '!Z13*100),0,B28*3.6/1000000/'E Balans VL '!Z13*100)</f>
        <v>0.2373676260093513</v>
      </c>
      <c r="D28" s="237" t="s">
        <v>692</v>
      </c>
      <c r="F28" s="6"/>
    </row>
    <row r="29" spans="1:18">
      <c r="A29" s="231" t="s">
        <v>51</v>
      </c>
      <c r="B29" s="33">
        <f>IF(ISERROR(TER_gezond_ele_kWh/1000),0,TER_gezond_ele_kWh/1000)</f>
        <v>1977.2190000000001</v>
      </c>
      <c r="C29" s="39">
        <f>IF(ISERROR(B29*3.6/1000000/'E Balans VL '!Z10*100),0,B29*3.6/1000000/'E Balans VL '!Z10*100)</f>
        <v>0.22278153400525041</v>
      </c>
      <c r="D29" s="237" t="s">
        <v>692</v>
      </c>
      <c r="F29" s="6"/>
    </row>
    <row r="30" spans="1:18">
      <c r="A30" s="231" t="s">
        <v>50</v>
      </c>
      <c r="B30" s="33">
        <f>IF(ISERROR(TER_ander_ele_kWh/1000),0,TER_ander_ele_kWh/1000)</f>
        <v>1925.818</v>
      </c>
      <c r="C30" s="39">
        <f>IF(ISERROR(B30*3.6/1000000/'E Balans VL '!Z14*100),0,B30*3.6/1000000/'E Balans VL '!Z14*100)</f>
        <v>0.14564632330283053</v>
      </c>
      <c r="D30" s="237" t="s">
        <v>692</v>
      </c>
      <c r="F30" s="6"/>
    </row>
    <row r="31" spans="1:18">
      <c r="A31" s="231" t="s">
        <v>55</v>
      </c>
      <c r="B31" s="33">
        <f>IF(ISERROR(TER_onderwijs_ele_kWh/1000),0,TER_onderwijs_ele_kWh/1000)</f>
        <v>388.79199999999997</v>
      </c>
      <c r="C31" s="39">
        <f>IF(ISERROR(B31*3.6/1000000/'E Balans VL '!Z11*100),0,B31*3.6/1000000/'E Balans VL '!Z11*100)</f>
        <v>8.0704193781185068E-2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42821.624000000003</v>
      </c>
      <c r="C5" s="17">
        <f>IF(ISERROR('Eigen informatie GS &amp; warmtenet'!B59),0,'Eigen informatie GS &amp; warmtenet'!B59)</f>
        <v>0</v>
      </c>
      <c r="D5" s="30">
        <f>SUM(D6:D15)</f>
        <v>116321.75493400001</v>
      </c>
      <c r="E5" s="17">
        <f>SUM(E6:E15)</f>
        <v>1058.531088492407</v>
      </c>
      <c r="F5" s="17">
        <f>SUM(F6:F15)</f>
        <v>54430.415079371545</v>
      </c>
      <c r="G5" s="18"/>
      <c r="H5" s="17"/>
      <c r="I5" s="17"/>
      <c r="J5" s="17">
        <f>SUM(J6:J15)</f>
        <v>617.05365254550861</v>
      </c>
      <c r="K5" s="17"/>
      <c r="L5" s="17"/>
      <c r="M5" s="17"/>
      <c r="N5" s="17">
        <f>SUM(N6:N15)</f>
        <v>14508.324953759649</v>
      </c>
      <c r="O5" s="17">
        <f>B43*B44*B45</f>
        <v>0</v>
      </c>
      <c r="P5" s="17">
        <f>B51*B52*B53/1000-B51*B52*B53/1000/B54</f>
        <v>0</v>
      </c>
      <c r="R5" s="32"/>
    </row>
    <row r="6" spans="1:18">
      <c r="A6" s="6" t="s">
        <v>35</v>
      </c>
      <c r="B6" s="37">
        <f>IF( ISERROR(IND_ijzer_ele_kWh/1000),0,IND_ijzer_ele_kWh/1000)</f>
        <v>895.46799999999996</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14324.33</v>
      </c>
      <c r="C8" s="33"/>
      <c r="D8" s="37">
        <f>IF( ISERROR(IND_metaal_Gas_kWH/1000),0,IND_metaal_Gas_kWH/1000)*0.902</f>
        <v>702.91687400000001</v>
      </c>
      <c r="E8" s="33">
        <f>C30*'E Balans VL '!I18/100/3.6*1000000</f>
        <v>358.48784581905267</v>
      </c>
      <c r="F8" s="33">
        <f>C30*'E Balans VL '!L18/100/3.6*1000000+C30*'E Balans VL '!N18/100/3.6*1000000</f>
        <v>4489.3162748818104</v>
      </c>
      <c r="G8" s="34"/>
      <c r="H8" s="33"/>
      <c r="I8" s="33"/>
      <c r="J8" s="40">
        <f>C30*'E Balans VL '!D18/100/3.6*1000000+C30*'E Balans VL '!E18/100/3.6*1000000</f>
        <v>0</v>
      </c>
      <c r="K8" s="33"/>
      <c r="L8" s="33"/>
      <c r="M8" s="33"/>
      <c r="N8" s="33">
        <f>C30*'E Balans VL '!Y18/100/3.6*1000000</f>
        <v>359.86434447802446</v>
      </c>
      <c r="O8" s="33"/>
      <c r="P8" s="33"/>
      <c r="R8" s="32"/>
    </row>
    <row r="9" spans="1:18">
      <c r="A9" s="6" t="s">
        <v>33</v>
      </c>
      <c r="B9" s="37">
        <f t="shared" si="0"/>
        <v>1580.6289999999999</v>
      </c>
      <c r="C9" s="33"/>
      <c r="D9" s="37">
        <f>IF( ISERROR(IND_andere_gas_kWh/1000),0,IND_andere_gas_kWh/1000)*0.902</f>
        <v>1751.5487000000001</v>
      </c>
      <c r="E9" s="33">
        <f>C31*'E Balans VL '!I19/100/3.6*1000000</f>
        <v>434.60814541369115</v>
      </c>
      <c r="F9" s="33">
        <f>C31*'E Balans VL '!L19/100/3.6*1000000+C31*'E Balans VL '!N19/100/3.6*1000000</f>
        <v>1245.810701193971</v>
      </c>
      <c r="G9" s="34"/>
      <c r="H9" s="33"/>
      <c r="I9" s="33"/>
      <c r="J9" s="40">
        <f>C31*'E Balans VL '!D19/100/3.6*1000000+C31*'E Balans VL '!E19/100/3.6*1000000</f>
        <v>0</v>
      </c>
      <c r="K9" s="33"/>
      <c r="L9" s="33"/>
      <c r="M9" s="33"/>
      <c r="N9" s="33">
        <f>C31*'E Balans VL '!Y19/100/3.6*1000000</f>
        <v>511.69132892393907</v>
      </c>
      <c r="O9" s="33"/>
      <c r="P9" s="33"/>
      <c r="R9" s="32"/>
    </row>
    <row r="10" spans="1:18">
      <c r="A10" s="6" t="s">
        <v>41</v>
      </c>
      <c r="B10" s="37">
        <f t="shared" si="0"/>
        <v>25770.183000000001</v>
      </c>
      <c r="C10" s="33"/>
      <c r="D10" s="37">
        <f>IF( ISERROR(IND_voed_gas_kWh/1000),0,IND_voed_gas_kWh/1000)*0.902</f>
        <v>113310.03015200001</v>
      </c>
      <c r="E10" s="33">
        <f>C32*'E Balans VL '!I20/100/3.6*1000000</f>
        <v>262.71281881017757</v>
      </c>
      <c r="F10" s="33">
        <f>C32*'E Balans VL '!L20/100/3.6*1000000+C32*'E Balans VL '!N20/100/3.6*1000000</f>
        <v>48679.714510063903</v>
      </c>
      <c r="G10" s="34"/>
      <c r="H10" s="33"/>
      <c r="I10" s="33"/>
      <c r="J10" s="40">
        <f>C32*'E Balans VL '!D20/100/3.6*1000000+C32*'E Balans VL '!E20/100/3.6*1000000</f>
        <v>616.76479961052803</v>
      </c>
      <c r="K10" s="33"/>
      <c r="L10" s="33"/>
      <c r="M10" s="33"/>
      <c r="N10" s="33">
        <f>C32*'E Balans VL '!Y20/100/3.6*1000000</f>
        <v>13583.854802090576</v>
      </c>
      <c r="O10" s="33"/>
      <c r="P10" s="33"/>
      <c r="R10" s="32"/>
    </row>
    <row r="11" spans="1:18">
      <c r="A11" s="6" t="s">
        <v>40</v>
      </c>
      <c r="B11" s="37">
        <f t="shared" si="0"/>
        <v>30.172000000000001</v>
      </c>
      <c r="C11" s="33"/>
      <c r="D11" s="37">
        <f>IF( ISERROR(IND_textiel_gas_kWh/1000),0,IND_textiel_gas_kWh/1000)*0.902</f>
        <v>0</v>
      </c>
      <c r="E11" s="33">
        <f>C33*'E Balans VL '!I21/100/3.6*1000000</f>
        <v>7.9970560670483595E-2</v>
      </c>
      <c r="F11" s="33">
        <f>C33*'E Balans VL '!L21/100/3.6*1000000+C33*'E Balans VL '!N21/100/3.6*1000000</f>
        <v>1.3475126447356094</v>
      </c>
      <c r="G11" s="34"/>
      <c r="H11" s="33"/>
      <c r="I11" s="33"/>
      <c r="J11" s="40">
        <f>C33*'E Balans VL '!D21/100/3.6*1000000+C33*'E Balans VL '!E21/100/3.6*1000000</f>
        <v>0</v>
      </c>
      <c r="K11" s="33"/>
      <c r="L11" s="33"/>
      <c r="M11" s="33"/>
      <c r="N11" s="33">
        <f>C33*'E Balans VL '!Y21/100/3.6*1000000</f>
        <v>0.28434953178383698</v>
      </c>
      <c r="O11" s="33"/>
      <c r="P11" s="33"/>
      <c r="R11" s="32"/>
    </row>
    <row r="12" spans="1:18">
      <c r="A12" s="6" t="s">
        <v>37</v>
      </c>
      <c r="B12" s="37">
        <f t="shared" si="0"/>
        <v>72.135000000000005</v>
      </c>
      <c r="C12" s="33"/>
      <c r="D12" s="37">
        <f>IF( ISERROR(IND_min_gas_kWh/1000),0,IND_min_gas_kWh/1000)*0.902</f>
        <v>69.565848000000003</v>
      </c>
      <c r="E12" s="33">
        <f>C34*'E Balans VL '!I22/100/3.6*1000000</f>
        <v>0.21846428452118735</v>
      </c>
      <c r="F12" s="33">
        <f>C34*'E Balans VL '!L22/100/3.6*1000000+C34*'E Balans VL '!N22/100/3.6*1000000</f>
        <v>2.2542807670639342</v>
      </c>
      <c r="G12" s="34"/>
      <c r="H12" s="33"/>
      <c r="I12" s="33"/>
      <c r="J12" s="40">
        <f>C34*'E Balans VL '!D22/100/3.6*1000000+C34*'E Balans VL '!E22/100/3.6*1000000</f>
        <v>0.10696019185514187</v>
      </c>
      <c r="K12" s="33"/>
      <c r="L12" s="33"/>
      <c r="M12" s="33"/>
      <c r="N12" s="33">
        <f>C34*'E Balans VL '!Y22/100/3.6*1000000</f>
        <v>0</v>
      </c>
      <c r="O12" s="33"/>
      <c r="P12" s="33"/>
      <c r="R12" s="32"/>
    </row>
    <row r="13" spans="1:18">
      <c r="A13" s="6" t="s">
        <v>39</v>
      </c>
      <c r="B13" s="37">
        <f t="shared" si="0"/>
        <v>105.351</v>
      </c>
      <c r="C13" s="33"/>
      <c r="D13" s="37">
        <f>IF( ISERROR(IND_papier_gas_kWh/1000),0,IND_papier_gas_kWh/1000)*0.902</f>
        <v>115.71307</v>
      </c>
      <c r="E13" s="33">
        <f>C35*'E Balans VL '!I23/100/3.6*1000000</f>
        <v>0.21818903202126957</v>
      </c>
      <c r="F13" s="33">
        <f>C35*'E Balans VL '!L23/100/3.6*1000000+C35*'E Balans VL '!N23/100/3.6*1000000</f>
        <v>2.0893361845929004</v>
      </c>
      <c r="G13" s="34"/>
      <c r="H13" s="33"/>
      <c r="I13" s="33"/>
      <c r="J13" s="40">
        <f>C35*'E Balans VL '!D23/100/3.6*1000000+C35*'E Balans VL '!E23/100/3.6*1000000</f>
        <v>0</v>
      </c>
      <c r="K13" s="33"/>
      <c r="L13" s="33"/>
      <c r="M13" s="33"/>
      <c r="N13" s="33">
        <f>C35*'E Balans VL '!Y23/100/3.6*1000000</f>
        <v>44.484235223868581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43.356000000000002</v>
      </c>
      <c r="C15" s="33"/>
      <c r="D15" s="37">
        <f>IF( ISERROR(IND_rest_gas_kWh/1000),0,IND_rest_gas_kWh/1000)*0.902</f>
        <v>371.98028999999997</v>
      </c>
      <c r="E15" s="33">
        <f>C37*'E Balans VL '!I15/100/3.6*1000000</f>
        <v>2.2056545722727963</v>
      </c>
      <c r="F15" s="33">
        <f>C37*'E Balans VL '!L15/100/3.6*1000000+C37*'E Balans VL '!N15/100/3.6*1000000</f>
        <v>9.8824636354691595</v>
      </c>
      <c r="G15" s="34"/>
      <c r="H15" s="33"/>
      <c r="I15" s="33"/>
      <c r="J15" s="40">
        <f>C37*'E Balans VL '!D15/100/3.6*1000000+C37*'E Balans VL '!E15/100/3.6*1000000</f>
        <v>0.18189274312542153</v>
      </c>
      <c r="K15" s="33"/>
      <c r="L15" s="33"/>
      <c r="M15" s="33"/>
      <c r="N15" s="33">
        <f>C37*'E Balans VL '!Y15/100/3.6*1000000</f>
        <v>8.145893511459029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42821.624000000003</v>
      </c>
      <c r="C18" s="21">
        <f>C5+C16</f>
        <v>0</v>
      </c>
      <c r="D18" s="21">
        <f>MAX((D5+D16),0)</f>
        <v>116321.75493400001</v>
      </c>
      <c r="E18" s="21">
        <f>MAX((E5+E16),0)</f>
        <v>1058.531088492407</v>
      </c>
      <c r="F18" s="21">
        <f>MAX((F5+F16),0)</f>
        <v>54430.415079371545</v>
      </c>
      <c r="G18" s="21"/>
      <c r="H18" s="21"/>
      <c r="I18" s="21"/>
      <c r="J18" s="21">
        <f>MAX((J5+J16),0)</f>
        <v>617.05365254550861</v>
      </c>
      <c r="K18" s="21"/>
      <c r="L18" s="21">
        <f>MAX((L5+L16),0)</f>
        <v>0</v>
      </c>
      <c r="M18" s="21"/>
      <c r="N18" s="21">
        <f>MAX((N5+N16),0)</f>
        <v>14508.324953759649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0.20171779424470138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8637.8835392559668</v>
      </c>
      <c r="C22" s="23">
        <f ca="1">C18*C20</f>
        <v>0</v>
      </c>
      <c r="D22" s="23">
        <f>D18*D20</f>
        <v>23496.994496668005</v>
      </c>
      <c r="E22" s="23">
        <f>E18*E20</f>
        <v>240.2865570877764</v>
      </c>
      <c r="F22" s="23">
        <f>F18*F20</f>
        <v>14532.920826192203</v>
      </c>
      <c r="G22" s="23"/>
      <c r="H22" s="23"/>
      <c r="I22" s="23"/>
      <c r="J22" s="23">
        <f>J18*J20</f>
        <v>218.43699300111004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14324.33</v>
      </c>
      <c r="C30" s="39">
        <f>IF(ISERROR(B30*3.6/1000000/'E Balans VL '!Z18*100),0,B30*3.6/1000000/'E Balans VL '!Z18*100)</f>
        <v>2.0049288364291691</v>
      </c>
      <c r="D30" s="237" t="s">
        <v>692</v>
      </c>
    </row>
    <row r="31" spans="1:18">
      <c r="A31" s="6" t="s">
        <v>33</v>
      </c>
      <c r="B31" s="37">
        <f>IF( ISERROR(IND_ander_ele_kWh/1000),0,IND_ander_ele_kWh/1000)</f>
        <v>1580.6289999999999</v>
      </c>
      <c r="C31" s="39">
        <f>IF(ISERROR(B31*3.6/1000000/'E Balans VL '!Z19*100),0,B31*3.6/1000000/'E Balans VL '!Z19*100)</f>
        <v>6.9183874915546284E-2</v>
      </c>
      <c r="D31" s="237" t="s">
        <v>692</v>
      </c>
    </row>
    <row r="32" spans="1:18">
      <c r="A32" s="171" t="s">
        <v>41</v>
      </c>
      <c r="B32" s="37">
        <f>IF( ISERROR(IND_voed_ele_kWh/1000),0,IND_voed_ele_kWh/1000)</f>
        <v>25770.183000000001</v>
      </c>
      <c r="C32" s="39">
        <f>IF(ISERROR(B32*3.6/1000000/'E Balans VL '!Z20*100),0,B32*3.6/1000000/'E Balans VL '!Z20*100)</f>
        <v>6.3798415252346041</v>
      </c>
      <c r="D32" s="237" t="s">
        <v>692</v>
      </c>
    </row>
    <row r="33" spans="1:5">
      <c r="A33" s="171" t="s">
        <v>40</v>
      </c>
      <c r="B33" s="37">
        <f>IF( ISERROR(IND_textiel_ele_kWh/1000),0,IND_textiel_ele_kWh/1000)</f>
        <v>30.172000000000001</v>
      </c>
      <c r="C33" s="39">
        <f>IF(ISERROR(B33*3.6/1000000/'E Balans VL '!Z21*100),0,B33*3.6/1000000/'E Balans VL '!Z21*100)</f>
        <v>3.3998529153234204E-3</v>
      </c>
      <c r="D33" s="237" t="s">
        <v>692</v>
      </c>
    </row>
    <row r="34" spans="1:5">
      <c r="A34" s="171" t="s">
        <v>37</v>
      </c>
      <c r="B34" s="37">
        <f>IF( ISERROR(IND_min_ele_kWh/1000),0,IND_min_ele_kWh/1000)</f>
        <v>72.135000000000005</v>
      </c>
      <c r="C34" s="39">
        <f>IF(ISERROR(B34*3.6/1000000/'E Balans VL '!Z22*100),0,B34*3.6/1000000/'E Balans VL '!Z22*100)</f>
        <v>2.0468970050167234E-3</v>
      </c>
      <c r="D34" s="237" t="s">
        <v>692</v>
      </c>
    </row>
    <row r="35" spans="1:5">
      <c r="A35" s="171" t="s">
        <v>39</v>
      </c>
      <c r="B35" s="37">
        <f>IF( ISERROR(IND_papier_ele_kWh/1000),0,IND_papier_ele_kWh/1000)</f>
        <v>105.351</v>
      </c>
      <c r="C35" s="39">
        <f>IF(ISERROR(B35*3.6/1000000/'E Balans VL '!Z22*100),0,B35*3.6/1000000/'E Balans VL '!Z22*100)</f>
        <v>2.9894315710198493E-3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43.356000000000002</v>
      </c>
      <c r="C37" s="39">
        <f>IF(ISERROR(B37*3.6/1000000/'E Balans VL '!Z15*100),0,B37*3.6/1000000/'E Balans VL '!Z15*100)</f>
        <v>3.2147731713869093E-4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218.37799999999999</v>
      </c>
      <c r="C5" s="17">
        <f>'Eigen informatie GS &amp; warmtenet'!B60</f>
        <v>0</v>
      </c>
      <c r="D5" s="30">
        <f>IF(ISERROR(SUM(LB_lb_gas_kWh,LB_rest_gas_kWh,onbekend_gas_kWh)/1000),0,SUM(LB_lb_gas_kWh,LB_rest_gas_kWh,onbekend_gas_kWh)/1000)*0.902</f>
        <v>130.003456</v>
      </c>
      <c r="E5" s="17">
        <f>B17*'E Balans VL '!I25/3.6*1000000/100</f>
        <v>2.0227085011140491</v>
      </c>
      <c r="F5" s="17">
        <f>B17*('E Balans VL '!L25/3.6*1000000+'E Balans VL '!N25/3.6*1000000)/100</f>
        <v>554.06658696630825</v>
      </c>
      <c r="G5" s="18"/>
      <c r="H5" s="17"/>
      <c r="I5" s="17"/>
      <c r="J5" s="17">
        <f>('E Balans VL '!D25+'E Balans VL '!E25)/3.6*1000000*landbouw!B17/100</f>
        <v>33.479784505592924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218.37799999999999</v>
      </c>
      <c r="C8" s="21">
        <f>C5+C6</f>
        <v>0</v>
      </c>
      <c r="D8" s="21">
        <f>MAX((D5+D6),0)</f>
        <v>130.003456</v>
      </c>
      <c r="E8" s="21">
        <f>MAX((E5+E6),0)</f>
        <v>2.0227085011140491</v>
      </c>
      <c r="F8" s="21">
        <f>MAX((F5+F6),0)</f>
        <v>554.06658696630825</v>
      </c>
      <c r="G8" s="21"/>
      <c r="H8" s="21"/>
      <c r="I8" s="21"/>
      <c r="J8" s="21">
        <f>MAX((J5+J6),0)</f>
        <v>33.479784505592924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0.20171779424470138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44.050728471569393</v>
      </c>
      <c r="C12" s="23">
        <f ca="1">C8*C10</f>
        <v>0</v>
      </c>
      <c r="D12" s="23">
        <f>D8*D10</f>
        <v>26.260698112</v>
      </c>
      <c r="E12" s="23">
        <f>E8*E10</f>
        <v>0.45915482975288918</v>
      </c>
      <c r="F12" s="23">
        <f>F8*F10</f>
        <v>147.93577872000432</v>
      </c>
      <c r="G12" s="23"/>
      <c r="H12" s="23"/>
      <c r="I12" s="23"/>
      <c r="J12" s="23">
        <f>J8*J10</f>
        <v>11.851843714979895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3.1048721186037253E-2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38.172976618376161</v>
      </c>
      <c r="C26" s="247">
        <f>B26*'GWP N2O_CH4'!B5</f>
        <v>801.63250898589934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2.851307417521769</v>
      </c>
      <c r="C27" s="247">
        <f>B27*'GWP N2O_CH4'!B5</f>
        <v>59.877455767957152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0.60416786595825889</v>
      </c>
      <c r="C28" s="247">
        <f>B28*'GWP N2O_CH4'!B4</f>
        <v>187.29203844706026</v>
      </c>
      <c r="D28" s="50"/>
    </row>
    <row r="29" spans="1:4">
      <c r="A29" s="41" t="s">
        <v>277</v>
      </c>
      <c r="B29" s="247">
        <f>B34*'ha_N2O bodem landbouw'!B4</f>
        <v>5.7062565212220431</v>
      </c>
      <c r="C29" s="247">
        <f>B29*'GWP N2O_CH4'!B4</f>
        <v>1768.9395215788334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1.2798128088179399E-3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1.24985672669303E-4</v>
      </c>
      <c r="C5" s="464" t="s">
        <v>211</v>
      </c>
      <c r="D5" s="449">
        <f>SUM(D6:D11)</f>
        <v>3.267729512308356E-4</v>
      </c>
      <c r="E5" s="449">
        <f>SUM(E6:E11)</f>
        <v>2.406986399216176E-3</v>
      </c>
      <c r="F5" s="462" t="s">
        <v>211</v>
      </c>
      <c r="G5" s="449">
        <f>SUM(G6:G11)</f>
        <v>0.78654145785870544</v>
      </c>
      <c r="H5" s="449">
        <f>SUM(H6:H11)</f>
        <v>0.12698749947147131</v>
      </c>
      <c r="I5" s="464" t="s">
        <v>211</v>
      </c>
      <c r="J5" s="464" t="s">
        <v>211</v>
      </c>
      <c r="K5" s="464" t="s">
        <v>211</v>
      </c>
      <c r="L5" s="464" t="s">
        <v>211</v>
      </c>
      <c r="M5" s="449">
        <f>SUM(M6:M11)</f>
        <v>4.9406954679282883E-2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2.8697638317164774E-5</v>
      </c>
      <c r="C6" s="450"/>
      <c r="D6" s="963">
        <f>vkm_2011_GW_PW*SUMIFS(TableVerdeelsleutelVkm[CNG],TableVerdeelsleutelVkm[Voertuigtype],"Lichte voertuigen")*SUMIFS(TableECFTransport[EnergieConsumptieFactor (PJ per km)],TableECFTransport[Index],CONCATENATE($A6,"_CNG_CNG"))</f>
        <v>6.6380796906700403E-5</v>
      </c>
      <c r="E6" s="963">
        <f>vkm_2011_GW_PW*SUMIFS(TableVerdeelsleutelVkm[LPG],TableVerdeelsleutelVkm[Voertuigtype],"Lichte voertuigen")*SUMIFS(TableECFTransport[EnergieConsumptieFactor (PJ per km)],TableECFTransport[Index],CONCATENATE($A6,"_LPG_LPG"))</f>
        <v>4.322316632160243E-4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8.9792930266620191E-2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2.5310771415815152E-2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5.9732854275785559E-3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5.9197497645240092E-2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2.0244469118035347E-5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3.4249107854213484E-3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1.6125947048607266E-5</v>
      </c>
      <c r="C8" s="450"/>
      <c r="D8" s="452">
        <f>vkm_2011_NGW_PW*SUMIFS(TableVerdeelsleutelVkm[CNG],TableVerdeelsleutelVkm[Voertuigtype],"Lichte voertuigen")*SUMIFS(TableECFTransport[EnergieConsumptieFactor (PJ per km)],TableECFTransport[Index],CONCATENATE($A8,"_CNG_CNG"))</f>
        <v>6.5974728813583312E-5</v>
      </c>
      <c r="E8" s="452">
        <f>vkm_2011_NGW_PW*SUMIFS(TableVerdeelsleutelVkm[LPG],TableVerdeelsleutelVkm[Voertuigtype],"Lichte voertuigen")*SUMIFS(TableECFTransport[EnergieConsumptieFactor (PJ per km)],TableECFTransport[Index],CONCATENATE($A8,"_LPG_LPG"))</f>
        <v>3.9646465494223897E-4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7.6992853557623211E-2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2.4324017685263703E-2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5.2024856431546872E-3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1.6447202779822038E-2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5.3221232312706291E-6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9.5155459456295255E-4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8.016208730353095E-5</v>
      </c>
      <c r="C10" s="450"/>
      <c r="D10" s="452">
        <f>vkm_2011_SW_PW*SUMIFS(TableVerdeelsleutelVkm[CNG],TableVerdeelsleutelVkm[Voertuigtype],"Lichte voertuigen")*SUMIFS(TableECFTransport[EnergieConsumptieFactor (PJ per km)],TableECFTransport[Index],CONCATENATE($A10,"_CNG_CNG"))</f>
        <v>1.9441742551055188E-4</v>
      </c>
      <c r="E10" s="452">
        <f>vkm_2011_SW_PW*SUMIFS(TableVerdeelsleutelVkm[LPG],TableVerdeelsleutelVkm[Voertuigtype],"Lichte voertuigen")*SUMIFS(TableECFTransport[EnergieConsumptieFactor (PJ per km)],TableECFTransport[Index],CONCATENATE($A10,"_LPG_LPG"))</f>
        <v>1.5782900810579128E-3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0.29518556178796307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7.7235399265025859E-2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1.9452768488886076E-2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0.24892541182143688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9.1744513017307124E-5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1.4401949739679258E-2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34.718242408139723</v>
      </c>
      <c r="C14" s="21"/>
      <c r="D14" s="21">
        <f t="shared" ref="D14:M14" si="0">((D5)*10^9/3600)+D12</f>
        <v>90.77026423078766</v>
      </c>
      <c r="E14" s="21">
        <f t="shared" si="0"/>
        <v>668.60733311560443</v>
      </c>
      <c r="F14" s="21"/>
      <c r="G14" s="21">
        <f t="shared" si="0"/>
        <v>218483.73829408485</v>
      </c>
      <c r="H14" s="21">
        <f t="shared" si="0"/>
        <v>35274.305408742031</v>
      </c>
      <c r="I14" s="21"/>
      <c r="J14" s="21"/>
      <c r="K14" s="21"/>
      <c r="L14" s="21"/>
      <c r="M14" s="21">
        <f t="shared" si="0"/>
        <v>13724.154077578578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0.20171779424470138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7.0032872786227944</v>
      </c>
      <c r="C18" s="23"/>
      <c r="D18" s="23">
        <f t="shared" ref="D18:M18" si="1">D14*D16</f>
        <v>18.335593374619108</v>
      </c>
      <c r="E18" s="23">
        <f t="shared" si="1"/>
        <v>151.77386461724222</v>
      </c>
      <c r="F18" s="23"/>
      <c r="G18" s="23">
        <f t="shared" si="1"/>
        <v>58335.158124520654</v>
      </c>
      <c r="H18" s="23">
        <f t="shared" si="1"/>
        <v>8783.3020467767656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8.8330002727839887E-3</v>
      </c>
      <c r="H50" s="321">
        <f t="shared" si="2"/>
        <v>0</v>
      </c>
      <c r="I50" s="321">
        <f t="shared" si="2"/>
        <v>0</v>
      </c>
      <c r="J50" s="321">
        <f t="shared" si="2"/>
        <v>0</v>
      </c>
      <c r="K50" s="321">
        <f t="shared" si="2"/>
        <v>0</v>
      </c>
      <c r="L50" s="321">
        <f t="shared" si="2"/>
        <v>0</v>
      </c>
      <c r="M50" s="321">
        <f t="shared" si="2"/>
        <v>5.0372025597008956E-4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8.8330002727839887E-3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5.0372025597008956E-4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2453.6111868844414</v>
      </c>
      <c r="H54" s="21">
        <f t="shared" si="3"/>
        <v>0</v>
      </c>
      <c r="I54" s="21">
        <f t="shared" si="3"/>
        <v>0</v>
      </c>
      <c r="J54" s="21">
        <f t="shared" si="3"/>
        <v>0</v>
      </c>
      <c r="K54" s="21">
        <f t="shared" si="3"/>
        <v>0</v>
      </c>
      <c r="L54" s="21">
        <f t="shared" si="3"/>
        <v>0</v>
      </c>
      <c r="M54" s="21">
        <f t="shared" si="3"/>
        <v>139.9222933250249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0.20171779424470138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655.11418689814593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8864.3366888701967</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8864.3366888701967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19857.715</v>
      </c>
      <c r="D10" s="719">
        <f ca="1">tertiair!C16</f>
        <v>0</v>
      </c>
      <c r="E10" s="719">
        <f ca="1">tertiair!D16</f>
        <v>20848.022514</v>
      </c>
      <c r="F10" s="719">
        <f>tertiair!E16</f>
        <v>201.32562331361783</v>
      </c>
      <c r="G10" s="719">
        <f ca="1">tertiair!F16</f>
        <v>2747.9864274421243</v>
      </c>
      <c r="H10" s="719">
        <f>tertiair!G16</f>
        <v>0</v>
      </c>
      <c r="I10" s="719">
        <f>tertiair!H16</f>
        <v>0</v>
      </c>
      <c r="J10" s="719">
        <f>tertiair!I16</f>
        <v>0</v>
      </c>
      <c r="K10" s="719">
        <f>tertiair!J16</f>
        <v>0</v>
      </c>
      <c r="L10" s="719">
        <f>tertiair!K16</f>
        <v>0</v>
      </c>
      <c r="M10" s="719">
        <f ca="1">tertiair!L16</f>
        <v>0</v>
      </c>
      <c r="N10" s="719">
        <f>tertiair!M16</f>
        <v>0</v>
      </c>
      <c r="O10" s="719">
        <f ca="1">tertiair!N16</f>
        <v>1478.3621813453153</v>
      </c>
      <c r="P10" s="719">
        <f>tertiair!O16</f>
        <v>1.5633333333333335</v>
      </c>
      <c r="Q10" s="720">
        <f>tertiair!P16</f>
        <v>57.2</v>
      </c>
      <c r="R10" s="722">
        <f ca="1">SUM(C10:Q10)</f>
        <v>45192.17507943439</v>
      </c>
      <c r="S10" s="67"/>
    </row>
    <row r="11" spans="1:19" s="475" customFormat="1">
      <c r="A11" s="871" t="s">
        <v>225</v>
      </c>
      <c r="B11" s="876"/>
      <c r="C11" s="719">
        <f>huishoudens!B8</f>
        <v>38664.779988115435</v>
      </c>
      <c r="D11" s="719">
        <f>huishoudens!C8</f>
        <v>0</v>
      </c>
      <c r="E11" s="719">
        <f>huishoudens!D8</f>
        <v>61135.915653999997</v>
      </c>
      <c r="F11" s="719">
        <f>huishoudens!E8</f>
        <v>3396.8581107187388</v>
      </c>
      <c r="G11" s="719">
        <f>huishoudens!F8</f>
        <v>67045.46113397555</v>
      </c>
      <c r="H11" s="719">
        <f>huishoudens!G8</f>
        <v>0</v>
      </c>
      <c r="I11" s="719">
        <f>huishoudens!H8</f>
        <v>0</v>
      </c>
      <c r="J11" s="719">
        <f>huishoudens!I8</f>
        <v>0</v>
      </c>
      <c r="K11" s="719">
        <f>huishoudens!J8</f>
        <v>0</v>
      </c>
      <c r="L11" s="719">
        <f>huishoudens!K8</f>
        <v>0</v>
      </c>
      <c r="M11" s="719">
        <f>huishoudens!L8</f>
        <v>0</v>
      </c>
      <c r="N11" s="719">
        <f>huishoudens!M8</f>
        <v>0</v>
      </c>
      <c r="O11" s="719">
        <f>huishoudens!N8</f>
        <v>9954.0961992285102</v>
      </c>
      <c r="P11" s="719">
        <f>huishoudens!O8</f>
        <v>434.60666666666674</v>
      </c>
      <c r="Q11" s="720">
        <f>huishoudens!P8</f>
        <v>1430</v>
      </c>
      <c r="R11" s="722">
        <f>SUM(C11:Q11)</f>
        <v>182061.71775270489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42821.624000000003</v>
      </c>
      <c r="D13" s="719">
        <f>industrie!C18</f>
        <v>0</v>
      </c>
      <c r="E13" s="719">
        <f>industrie!D18</f>
        <v>116321.75493400001</v>
      </c>
      <c r="F13" s="719">
        <f>industrie!E18</f>
        <v>1058.531088492407</v>
      </c>
      <c r="G13" s="719">
        <f>industrie!F18</f>
        <v>54430.415079371545</v>
      </c>
      <c r="H13" s="719">
        <f>industrie!G18</f>
        <v>0</v>
      </c>
      <c r="I13" s="719">
        <f>industrie!H18</f>
        <v>0</v>
      </c>
      <c r="J13" s="719">
        <f>industrie!I18</f>
        <v>0</v>
      </c>
      <c r="K13" s="719">
        <f>industrie!J18</f>
        <v>617.05365254550861</v>
      </c>
      <c r="L13" s="719">
        <f>industrie!K18</f>
        <v>0</v>
      </c>
      <c r="M13" s="719">
        <f>industrie!L18</f>
        <v>0</v>
      </c>
      <c r="N13" s="719">
        <f>industrie!M18</f>
        <v>0</v>
      </c>
      <c r="O13" s="719">
        <f>industrie!N18</f>
        <v>14508.324953759649</v>
      </c>
      <c r="P13" s="719">
        <f>industrie!O18</f>
        <v>0</v>
      </c>
      <c r="Q13" s="720">
        <f>industrie!P18</f>
        <v>0</v>
      </c>
      <c r="R13" s="722">
        <f>SUM(C13:Q13)</f>
        <v>229757.70370816908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101344.11898811543</v>
      </c>
      <c r="D15" s="724">
        <f t="shared" ref="D15:Q15" ca="1" si="0">SUM(D9:D14)</f>
        <v>0</v>
      </c>
      <c r="E15" s="724">
        <f t="shared" ca="1" si="0"/>
        <v>198305.69310199999</v>
      </c>
      <c r="F15" s="724">
        <f t="shared" si="0"/>
        <v>4656.7148225247638</v>
      </c>
      <c r="G15" s="724">
        <f t="shared" ca="1" si="0"/>
        <v>124223.86264078922</v>
      </c>
      <c r="H15" s="724">
        <f t="shared" si="0"/>
        <v>0</v>
      </c>
      <c r="I15" s="724">
        <f t="shared" si="0"/>
        <v>0</v>
      </c>
      <c r="J15" s="724">
        <f t="shared" si="0"/>
        <v>0</v>
      </c>
      <c r="K15" s="724">
        <f t="shared" si="0"/>
        <v>617.05365254550861</v>
      </c>
      <c r="L15" s="724">
        <f t="shared" si="0"/>
        <v>0</v>
      </c>
      <c r="M15" s="724">
        <f t="shared" ca="1" si="0"/>
        <v>0</v>
      </c>
      <c r="N15" s="724">
        <f t="shared" si="0"/>
        <v>0</v>
      </c>
      <c r="O15" s="724">
        <f t="shared" ca="1" si="0"/>
        <v>25940.783334333475</v>
      </c>
      <c r="P15" s="724">
        <f t="shared" si="0"/>
        <v>436.17000000000007</v>
      </c>
      <c r="Q15" s="725">
        <f t="shared" si="0"/>
        <v>1487.2</v>
      </c>
      <c r="R15" s="726">
        <f ca="1">SUM(R9:R14)</f>
        <v>457011.59654030832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2453.6111868844414</v>
      </c>
      <c r="I18" s="719">
        <f>transport!H54</f>
        <v>0</v>
      </c>
      <c r="J18" s="719">
        <f>transport!I54</f>
        <v>0</v>
      </c>
      <c r="K18" s="719">
        <f>transport!J54</f>
        <v>0</v>
      </c>
      <c r="L18" s="719">
        <f>transport!K54</f>
        <v>0</v>
      </c>
      <c r="M18" s="719">
        <f>transport!L54</f>
        <v>0</v>
      </c>
      <c r="N18" s="719">
        <f>transport!M54</f>
        <v>139.9222933250249</v>
      </c>
      <c r="O18" s="719">
        <f>transport!N54</f>
        <v>0</v>
      </c>
      <c r="P18" s="719">
        <f>transport!O54</f>
        <v>0</v>
      </c>
      <c r="Q18" s="720">
        <f>transport!P54</f>
        <v>0</v>
      </c>
      <c r="R18" s="722">
        <f>SUM(C18:Q18)</f>
        <v>2593.5334802094662</v>
      </c>
      <c r="S18" s="67"/>
    </row>
    <row r="19" spans="1:19" s="475" customFormat="1" ht="15" thickBot="1">
      <c r="A19" s="871" t="s">
        <v>307</v>
      </c>
      <c r="B19" s="876"/>
      <c r="C19" s="728">
        <f>transport!B14</f>
        <v>34.718242408139723</v>
      </c>
      <c r="D19" s="728">
        <f>transport!C14</f>
        <v>0</v>
      </c>
      <c r="E19" s="728">
        <f>transport!D14</f>
        <v>90.77026423078766</v>
      </c>
      <c r="F19" s="728">
        <f>transport!E14</f>
        <v>668.60733311560443</v>
      </c>
      <c r="G19" s="728">
        <f>transport!F14</f>
        <v>0</v>
      </c>
      <c r="H19" s="728">
        <f>transport!G14</f>
        <v>218483.73829408485</v>
      </c>
      <c r="I19" s="728">
        <f>transport!H14</f>
        <v>35274.305408742031</v>
      </c>
      <c r="J19" s="728">
        <f>transport!I14</f>
        <v>0</v>
      </c>
      <c r="K19" s="728">
        <f>transport!J14</f>
        <v>0</v>
      </c>
      <c r="L19" s="728">
        <f>transport!K14</f>
        <v>0</v>
      </c>
      <c r="M19" s="728">
        <f>transport!L14</f>
        <v>0</v>
      </c>
      <c r="N19" s="728">
        <f>transport!M14</f>
        <v>13724.154077578578</v>
      </c>
      <c r="O19" s="728">
        <f>transport!N14</f>
        <v>0</v>
      </c>
      <c r="P19" s="728">
        <f>transport!O14</f>
        <v>0</v>
      </c>
      <c r="Q19" s="729">
        <f>transport!P14</f>
        <v>0</v>
      </c>
      <c r="R19" s="730">
        <f>SUM(C19:Q19)</f>
        <v>268276.29362015997</v>
      </c>
      <c r="S19" s="67"/>
    </row>
    <row r="20" spans="1:19" s="475" customFormat="1" ht="15.75" thickBot="1">
      <c r="A20" s="731" t="s">
        <v>230</v>
      </c>
      <c r="B20" s="879"/>
      <c r="C20" s="874">
        <f>SUM(C17:C19)</f>
        <v>34.718242408139723</v>
      </c>
      <c r="D20" s="732">
        <f t="shared" ref="D20:R20" si="1">SUM(D17:D19)</f>
        <v>0</v>
      </c>
      <c r="E20" s="732">
        <f t="shared" si="1"/>
        <v>90.77026423078766</v>
      </c>
      <c r="F20" s="732">
        <f t="shared" si="1"/>
        <v>668.60733311560443</v>
      </c>
      <c r="G20" s="732">
        <f t="shared" si="1"/>
        <v>0</v>
      </c>
      <c r="H20" s="732">
        <f t="shared" si="1"/>
        <v>220937.34948096928</v>
      </c>
      <c r="I20" s="732">
        <f t="shared" si="1"/>
        <v>35274.305408742031</v>
      </c>
      <c r="J20" s="732">
        <f t="shared" si="1"/>
        <v>0</v>
      </c>
      <c r="K20" s="732">
        <f t="shared" si="1"/>
        <v>0</v>
      </c>
      <c r="L20" s="732">
        <f t="shared" si="1"/>
        <v>0</v>
      </c>
      <c r="M20" s="732">
        <f t="shared" si="1"/>
        <v>0</v>
      </c>
      <c r="N20" s="732">
        <f t="shared" si="1"/>
        <v>13864.076370903604</v>
      </c>
      <c r="O20" s="732">
        <f t="shared" si="1"/>
        <v>0</v>
      </c>
      <c r="P20" s="732">
        <f t="shared" si="1"/>
        <v>0</v>
      </c>
      <c r="Q20" s="733">
        <f t="shared" si="1"/>
        <v>0</v>
      </c>
      <c r="R20" s="734">
        <f t="shared" si="1"/>
        <v>270869.82710036944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218.37799999999999</v>
      </c>
      <c r="D22" s="728">
        <f>+landbouw!C8</f>
        <v>0</v>
      </c>
      <c r="E22" s="728">
        <f>+landbouw!D8</f>
        <v>130.003456</v>
      </c>
      <c r="F22" s="728">
        <f>+landbouw!E8</f>
        <v>2.0227085011140491</v>
      </c>
      <c r="G22" s="728">
        <f>+landbouw!F8</f>
        <v>554.06658696630825</v>
      </c>
      <c r="H22" s="728">
        <f>+landbouw!G8</f>
        <v>0</v>
      </c>
      <c r="I22" s="728">
        <f>+landbouw!H8</f>
        <v>0</v>
      </c>
      <c r="J22" s="728">
        <f>+landbouw!I8</f>
        <v>0</v>
      </c>
      <c r="K22" s="728">
        <f>+landbouw!J8</f>
        <v>33.479784505592924</v>
      </c>
      <c r="L22" s="728">
        <f>+landbouw!K8</f>
        <v>0</v>
      </c>
      <c r="M22" s="728">
        <f>+landbouw!L8</f>
        <v>0</v>
      </c>
      <c r="N22" s="728">
        <f>+landbouw!M8</f>
        <v>0</v>
      </c>
      <c r="O22" s="728">
        <f>+landbouw!N8</f>
        <v>0</v>
      </c>
      <c r="P22" s="728">
        <f>+landbouw!O8</f>
        <v>0</v>
      </c>
      <c r="Q22" s="729">
        <f>+landbouw!P8</f>
        <v>0</v>
      </c>
      <c r="R22" s="730">
        <f>SUM(C22:Q22)</f>
        <v>937.95053597301512</v>
      </c>
      <c r="S22" s="67"/>
    </row>
    <row r="23" spans="1:19" s="475" customFormat="1" ht="17.25" thickTop="1" thickBot="1">
      <c r="A23" s="735" t="s">
        <v>116</v>
      </c>
      <c r="B23" s="865"/>
      <c r="C23" s="736">
        <f ca="1">C20+C15+C22</f>
        <v>101597.21523052356</v>
      </c>
      <c r="D23" s="736">
        <f t="shared" ref="D23:Q23" ca="1" si="2">D20+D15+D22</f>
        <v>0</v>
      </c>
      <c r="E23" s="736">
        <f t="shared" ca="1" si="2"/>
        <v>198526.46682223078</v>
      </c>
      <c r="F23" s="736">
        <f t="shared" si="2"/>
        <v>5327.3448641414816</v>
      </c>
      <c r="G23" s="736">
        <f t="shared" ca="1" si="2"/>
        <v>124777.92922775552</v>
      </c>
      <c r="H23" s="736">
        <f t="shared" si="2"/>
        <v>220937.34948096928</v>
      </c>
      <c r="I23" s="736">
        <f t="shared" si="2"/>
        <v>35274.305408742031</v>
      </c>
      <c r="J23" s="736">
        <f t="shared" si="2"/>
        <v>0</v>
      </c>
      <c r="K23" s="736">
        <f t="shared" si="2"/>
        <v>650.53343705110149</v>
      </c>
      <c r="L23" s="736">
        <f t="shared" si="2"/>
        <v>0</v>
      </c>
      <c r="M23" s="736">
        <f t="shared" ca="1" si="2"/>
        <v>0</v>
      </c>
      <c r="N23" s="736">
        <f t="shared" si="2"/>
        <v>13864.076370903604</v>
      </c>
      <c r="O23" s="736">
        <f t="shared" ca="1" si="2"/>
        <v>25940.783334333475</v>
      </c>
      <c r="P23" s="736">
        <f t="shared" si="2"/>
        <v>436.17000000000007</v>
      </c>
      <c r="Q23" s="737">
        <f t="shared" si="2"/>
        <v>1487.2</v>
      </c>
      <c r="R23" s="738">
        <f ca="1">R20+R15+R22</f>
        <v>728819.37417665077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4005.6544685399203</v>
      </c>
      <c r="D36" s="719">
        <f ca="1">tertiair!C20</f>
        <v>0</v>
      </c>
      <c r="E36" s="719">
        <f ca="1">tertiair!D20</f>
        <v>4211.3005478280002</v>
      </c>
      <c r="F36" s="719">
        <f>tertiair!E20</f>
        <v>45.700916492191247</v>
      </c>
      <c r="G36" s="719">
        <f ca="1">tertiair!F20</f>
        <v>733.71237612704726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8996.3683089871574</v>
      </c>
    </row>
    <row r="37" spans="1:18">
      <c r="A37" s="886" t="s">
        <v>225</v>
      </c>
      <c r="B37" s="893"/>
      <c r="C37" s="719">
        <f ca="1">huishoudens!B12</f>
        <v>7799.3741341593168</v>
      </c>
      <c r="D37" s="719">
        <f ca="1">huishoudens!C12</f>
        <v>0</v>
      </c>
      <c r="E37" s="719">
        <f>huishoudens!D12</f>
        <v>12349.454962108</v>
      </c>
      <c r="F37" s="719">
        <f>huishoudens!E12</f>
        <v>771.08679113315372</v>
      </c>
      <c r="G37" s="719">
        <f>huishoudens!F12</f>
        <v>17901.138122771474</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38821.054010171945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8637.8835392559668</v>
      </c>
      <c r="D39" s="719">
        <f ca="1">industrie!C22</f>
        <v>0</v>
      </c>
      <c r="E39" s="719">
        <f>industrie!D22</f>
        <v>23496.994496668005</v>
      </c>
      <c r="F39" s="719">
        <f>industrie!E22</f>
        <v>240.2865570877764</v>
      </c>
      <c r="G39" s="719">
        <f>industrie!F22</f>
        <v>14532.920826192203</v>
      </c>
      <c r="H39" s="719">
        <f>industrie!G22</f>
        <v>0</v>
      </c>
      <c r="I39" s="719">
        <f>industrie!H22</f>
        <v>0</v>
      </c>
      <c r="J39" s="719">
        <f>industrie!I22</f>
        <v>0</v>
      </c>
      <c r="K39" s="719">
        <f>industrie!J22</f>
        <v>218.43699300111004</v>
      </c>
      <c r="L39" s="719">
        <f>industrie!K22</f>
        <v>0</v>
      </c>
      <c r="M39" s="719">
        <f>industrie!L22</f>
        <v>0</v>
      </c>
      <c r="N39" s="719">
        <f>industrie!M22</f>
        <v>0</v>
      </c>
      <c r="O39" s="719">
        <f>industrie!N22</f>
        <v>0</v>
      </c>
      <c r="P39" s="719">
        <f>industrie!O22</f>
        <v>0</v>
      </c>
      <c r="Q39" s="829">
        <f>industrie!P22</f>
        <v>0</v>
      </c>
      <c r="R39" s="919">
        <f ca="1">SUM(C39:Q39)</f>
        <v>47126.522412205064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20442.912141955203</v>
      </c>
      <c r="D41" s="764">
        <f t="shared" ref="D41:R41" ca="1" si="4">SUM(D35:D40)</f>
        <v>0</v>
      </c>
      <c r="E41" s="764">
        <f t="shared" ca="1" si="4"/>
        <v>40057.750006604008</v>
      </c>
      <c r="F41" s="764">
        <f t="shared" si="4"/>
        <v>1057.0742647131215</v>
      </c>
      <c r="G41" s="764">
        <f t="shared" ca="1" si="4"/>
        <v>33167.771325090725</v>
      </c>
      <c r="H41" s="764">
        <f t="shared" si="4"/>
        <v>0</v>
      </c>
      <c r="I41" s="764">
        <f t="shared" si="4"/>
        <v>0</v>
      </c>
      <c r="J41" s="764">
        <f t="shared" si="4"/>
        <v>0</v>
      </c>
      <c r="K41" s="764">
        <f t="shared" si="4"/>
        <v>218.43699300111004</v>
      </c>
      <c r="L41" s="764">
        <f t="shared" si="4"/>
        <v>0</v>
      </c>
      <c r="M41" s="764">
        <f t="shared" ca="1" si="4"/>
        <v>0</v>
      </c>
      <c r="N41" s="764">
        <f t="shared" si="4"/>
        <v>0</v>
      </c>
      <c r="O41" s="764">
        <f t="shared" ca="1" si="4"/>
        <v>0</v>
      </c>
      <c r="P41" s="764">
        <f t="shared" si="4"/>
        <v>0</v>
      </c>
      <c r="Q41" s="765">
        <f t="shared" si="4"/>
        <v>0</v>
      </c>
      <c r="R41" s="766">
        <f t="shared" ca="1" si="4"/>
        <v>94943.944731364172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655.11418689814593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655.11418689814593</v>
      </c>
    </row>
    <row r="45" spans="1:18" ht="15" thickBot="1">
      <c r="A45" s="889" t="s">
        <v>307</v>
      </c>
      <c r="B45" s="899"/>
      <c r="C45" s="728">
        <f ca="1">transport!B18</f>
        <v>7.0032872786227944</v>
      </c>
      <c r="D45" s="728">
        <f>transport!C18</f>
        <v>0</v>
      </c>
      <c r="E45" s="728">
        <f>transport!D18</f>
        <v>18.335593374619108</v>
      </c>
      <c r="F45" s="728">
        <f>transport!E18</f>
        <v>151.77386461724222</v>
      </c>
      <c r="G45" s="728">
        <f>transport!F18</f>
        <v>0</v>
      </c>
      <c r="H45" s="728">
        <f>transport!G18</f>
        <v>58335.158124520654</v>
      </c>
      <c r="I45" s="728">
        <f>transport!H18</f>
        <v>8783.3020467767656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67295.572916567908</v>
      </c>
    </row>
    <row r="46" spans="1:18" ht="15.75" thickBot="1">
      <c r="A46" s="887" t="s">
        <v>230</v>
      </c>
      <c r="B46" s="900"/>
      <c r="C46" s="764">
        <f t="shared" ref="C46:R46" ca="1" si="5">SUM(C43:C45)</f>
        <v>7.0032872786227944</v>
      </c>
      <c r="D46" s="764">
        <f t="shared" ca="1" si="5"/>
        <v>0</v>
      </c>
      <c r="E46" s="764">
        <f t="shared" si="5"/>
        <v>18.335593374619108</v>
      </c>
      <c r="F46" s="764">
        <f t="shared" si="5"/>
        <v>151.77386461724222</v>
      </c>
      <c r="G46" s="764">
        <f t="shared" si="5"/>
        <v>0</v>
      </c>
      <c r="H46" s="764">
        <f t="shared" si="5"/>
        <v>58990.272311418797</v>
      </c>
      <c r="I46" s="764">
        <f t="shared" si="5"/>
        <v>8783.3020467767656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67950.687103466058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44.050728471569393</v>
      </c>
      <c r="D48" s="719">
        <f ca="1">+landbouw!C12</f>
        <v>0</v>
      </c>
      <c r="E48" s="719">
        <f>+landbouw!D12</f>
        <v>26.260698112</v>
      </c>
      <c r="F48" s="719">
        <f>+landbouw!E12</f>
        <v>0.45915482975288918</v>
      </c>
      <c r="G48" s="719">
        <f>+landbouw!F12</f>
        <v>147.93577872000432</v>
      </c>
      <c r="H48" s="719">
        <f>+landbouw!G12</f>
        <v>0</v>
      </c>
      <c r="I48" s="719">
        <f>+landbouw!H12</f>
        <v>0</v>
      </c>
      <c r="J48" s="719">
        <f>+landbouw!I12</f>
        <v>0</v>
      </c>
      <c r="K48" s="719">
        <f>+landbouw!J12</f>
        <v>11.851843714979895</v>
      </c>
      <c r="L48" s="719">
        <f>+landbouw!K12</f>
        <v>0</v>
      </c>
      <c r="M48" s="719">
        <f>+landbouw!L12</f>
        <v>0</v>
      </c>
      <c r="N48" s="719">
        <f>+landbouw!M12</f>
        <v>0</v>
      </c>
      <c r="O48" s="719">
        <f>+landbouw!N12</f>
        <v>0</v>
      </c>
      <c r="P48" s="719">
        <f>+landbouw!O12</f>
        <v>0</v>
      </c>
      <c r="Q48" s="720">
        <f>+landbouw!P12</f>
        <v>0</v>
      </c>
      <c r="R48" s="762">
        <f ca="1">SUM(C48:Q48)</f>
        <v>230.5582038483065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20493.966157705392</v>
      </c>
      <c r="D53" s="774">
        <f t="shared" ref="D53:Q53" ca="1" si="6">D41+D46+D48</f>
        <v>0</v>
      </c>
      <c r="E53" s="774">
        <f t="shared" ca="1" si="6"/>
        <v>40102.346298090626</v>
      </c>
      <c r="F53" s="774">
        <f t="shared" si="6"/>
        <v>1209.3072841601165</v>
      </c>
      <c r="G53" s="774">
        <f t="shared" ca="1" si="6"/>
        <v>33315.707103810731</v>
      </c>
      <c r="H53" s="774">
        <f t="shared" si="6"/>
        <v>58990.272311418797</v>
      </c>
      <c r="I53" s="774">
        <f t="shared" si="6"/>
        <v>8783.3020467767656</v>
      </c>
      <c r="J53" s="774">
        <f t="shared" si="6"/>
        <v>0</v>
      </c>
      <c r="K53" s="774">
        <f t="shared" si="6"/>
        <v>230.28883671608995</v>
      </c>
      <c r="L53" s="774">
        <f t="shared" si="6"/>
        <v>0</v>
      </c>
      <c r="M53" s="774">
        <f t="shared" ca="1" si="6"/>
        <v>0</v>
      </c>
      <c r="N53" s="774">
        <f t="shared" si="6"/>
        <v>0</v>
      </c>
      <c r="O53" s="774">
        <f t="shared" ca="1" si="6"/>
        <v>0</v>
      </c>
      <c r="P53" s="774">
        <f>P41+P46+P48</f>
        <v>0</v>
      </c>
      <c r="Q53" s="775">
        <f t="shared" si="6"/>
        <v>0</v>
      </c>
      <c r="R53" s="776">
        <f ca="1">R41+R46+R48</f>
        <v>163125.19003867853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0.20171779424470138</v>
      </c>
      <c r="D55" s="837">
        <f t="shared" ca="1" si="7"/>
        <v>0</v>
      </c>
      <c r="E55" s="837">
        <f t="shared" ca="1" si="7"/>
        <v>0.20200000000000004</v>
      </c>
      <c r="F55" s="837">
        <f t="shared" si="7"/>
        <v>0.22700000000000004</v>
      </c>
      <c r="G55" s="837">
        <f t="shared" ca="1" si="7"/>
        <v>0.26700000000000007</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8864.3366888701967</v>
      </c>
      <c r="C66" s="796">
        <f>'lokale energieproductie'!B6</f>
        <v>8864.3366888701967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8864.3366888701967</v>
      </c>
      <c r="C69" s="804">
        <f>SUM(C64:C68)</f>
        <v>8864.3366888701967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38664.779988115435</v>
      </c>
      <c r="C4" s="479">
        <f>huishoudens!C8</f>
        <v>0</v>
      </c>
      <c r="D4" s="479">
        <f>huishoudens!D8</f>
        <v>61135.915653999997</v>
      </c>
      <c r="E4" s="479">
        <f>huishoudens!E8</f>
        <v>3396.8581107187388</v>
      </c>
      <c r="F4" s="479">
        <f>huishoudens!F8</f>
        <v>67045.46113397555</v>
      </c>
      <c r="G4" s="479">
        <f>huishoudens!G8</f>
        <v>0</v>
      </c>
      <c r="H4" s="479">
        <f>huishoudens!H8</f>
        <v>0</v>
      </c>
      <c r="I4" s="479">
        <f>huishoudens!I8</f>
        <v>0</v>
      </c>
      <c r="J4" s="479">
        <f>huishoudens!J8</f>
        <v>0</v>
      </c>
      <c r="K4" s="479">
        <f>huishoudens!K8</f>
        <v>0</v>
      </c>
      <c r="L4" s="479">
        <f>huishoudens!L8</f>
        <v>0</v>
      </c>
      <c r="M4" s="479">
        <f>huishoudens!M8</f>
        <v>0</v>
      </c>
      <c r="N4" s="479">
        <f>huishoudens!N8</f>
        <v>9954.0961992285102</v>
      </c>
      <c r="O4" s="479">
        <f>huishoudens!O8</f>
        <v>434.60666666666674</v>
      </c>
      <c r="P4" s="480">
        <f>huishoudens!P8</f>
        <v>1430</v>
      </c>
      <c r="Q4" s="481">
        <f>SUM(B4:P4)</f>
        <v>182061.71775270489</v>
      </c>
    </row>
    <row r="5" spans="1:17">
      <c r="A5" s="478" t="s">
        <v>156</v>
      </c>
      <c r="B5" s="479">
        <f ca="1">tertiair!B16</f>
        <v>18556.866000000002</v>
      </c>
      <c r="C5" s="479">
        <f ca="1">tertiair!C16</f>
        <v>0</v>
      </c>
      <c r="D5" s="479">
        <f ca="1">tertiair!D16</f>
        <v>20848.022514</v>
      </c>
      <c r="E5" s="479">
        <f>tertiair!E16</f>
        <v>201.32562331361783</v>
      </c>
      <c r="F5" s="479">
        <f ca="1">tertiair!F16</f>
        <v>2747.9864274421243</v>
      </c>
      <c r="G5" s="479">
        <f>tertiair!G16</f>
        <v>0</v>
      </c>
      <c r="H5" s="479">
        <f>tertiair!H16</f>
        <v>0</v>
      </c>
      <c r="I5" s="479">
        <f>tertiair!I16</f>
        <v>0</v>
      </c>
      <c r="J5" s="479">
        <f>tertiair!J16</f>
        <v>0</v>
      </c>
      <c r="K5" s="479">
        <f>tertiair!K16</f>
        <v>0</v>
      </c>
      <c r="L5" s="479">
        <f ca="1">tertiair!L16</f>
        <v>0</v>
      </c>
      <c r="M5" s="479">
        <f>tertiair!M16</f>
        <v>0</v>
      </c>
      <c r="N5" s="479">
        <f ca="1">tertiair!N16</f>
        <v>1478.3621813453153</v>
      </c>
      <c r="O5" s="479">
        <f>tertiair!O16</f>
        <v>1.5633333333333335</v>
      </c>
      <c r="P5" s="480">
        <f>tertiair!P16</f>
        <v>57.2</v>
      </c>
      <c r="Q5" s="478">
        <f t="shared" ref="Q5:Q13" ca="1" si="0">SUM(B5:P5)</f>
        <v>43891.326079434395</v>
      </c>
    </row>
    <row r="6" spans="1:17">
      <c r="A6" s="478" t="s">
        <v>194</v>
      </c>
      <c r="B6" s="479">
        <f>'openbare verlichting'!B8</f>
        <v>1300.8489999999999</v>
      </c>
      <c r="C6" s="479"/>
      <c r="D6" s="479"/>
      <c r="E6" s="479"/>
      <c r="F6" s="479"/>
      <c r="G6" s="479"/>
      <c r="H6" s="479"/>
      <c r="I6" s="479"/>
      <c r="J6" s="479"/>
      <c r="K6" s="479"/>
      <c r="L6" s="479"/>
      <c r="M6" s="479"/>
      <c r="N6" s="479"/>
      <c r="O6" s="479"/>
      <c r="P6" s="480"/>
      <c r="Q6" s="478">
        <f t="shared" si="0"/>
        <v>1300.8489999999999</v>
      </c>
    </row>
    <row r="7" spans="1:17">
      <c r="A7" s="478" t="s">
        <v>112</v>
      </c>
      <c r="B7" s="479">
        <f>landbouw!B8</f>
        <v>218.37799999999999</v>
      </c>
      <c r="C7" s="479">
        <f>landbouw!C8</f>
        <v>0</v>
      </c>
      <c r="D7" s="479">
        <f>landbouw!D8</f>
        <v>130.003456</v>
      </c>
      <c r="E7" s="479">
        <f>landbouw!E8</f>
        <v>2.0227085011140491</v>
      </c>
      <c r="F7" s="479">
        <f>landbouw!F8</f>
        <v>554.06658696630825</v>
      </c>
      <c r="G7" s="479">
        <f>landbouw!G8</f>
        <v>0</v>
      </c>
      <c r="H7" s="479">
        <f>landbouw!H8</f>
        <v>0</v>
      </c>
      <c r="I7" s="479">
        <f>landbouw!I8</f>
        <v>0</v>
      </c>
      <c r="J7" s="479">
        <f>landbouw!J8</f>
        <v>33.479784505592924</v>
      </c>
      <c r="K7" s="479">
        <f>landbouw!K8</f>
        <v>0</v>
      </c>
      <c r="L7" s="479">
        <f>landbouw!L8</f>
        <v>0</v>
      </c>
      <c r="M7" s="479">
        <f>landbouw!M8</f>
        <v>0</v>
      </c>
      <c r="N7" s="479">
        <f>landbouw!N8</f>
        <v>0</v>
      </c>
      <c r="O7" s="479">
        <f>landbouw!O8</f>
        <v>0</v>
      </c>
      <c r="P7" s="480">
        <f>landbouw!P8</f>
        <v>0</v>
      </c>
      <c r="Q7" s="478">
        <f t="shared" si="0"/>
        <v>937.95053597301512</v>
      </c>
    </row>
    <row r="8" spans="1:17">
      <c r="A8" s="478" t="s">
        <v>650</v>
      </c>
      <c r="B8" s="479">
        <f>industrie!B18</f>
        <v>42821.624000000003</v>
      </c>
      <c r="C8" s="479">
        <f>industrie!C18</f>
        <v>0</v>
      </c>
      <c r="D8" s="479">
        <f>industrie!D18</f>
        <v>116321.75493400001</v>
      </c>
      <c r="E8" s="479">
        <f>industrie!E18</f>
        <v>1058.531088492407</v>
      </c>
      <c r="F8" s="479">
        <f>industrie!F18</f>
        <v>54430.415079371545</v>
      </c>
      <c r="G8" s="479">
        <f>industrie!G18</f>
        <v>0</v>
      </c>
      <c r="H8" s="479">
        <f>industrie!H18</f>
        <v>0</v>
      </c>
      <c r="I8" s="479">
        <f>industrie!I18</f>
        <v>0</v>
      </c>
      <c r="J8" s="479">
        <f>industrie!J18</f>
        <v>617.05365254550861</v>
      </c>
      <c r="K8" s="479">
        <f>industrie!K18</f>
        <v>0</v>
      </c>
      <c r="L8" s="479">
        <f>industrie!L18</f>
        <v>0</v>
      </c>
      <c r="M8" s="479">
        <f>industrie!M18</f>
        <v>0</v>
      </c>
      <c r="N8" s="479">
        <f>industrie!N18</f>
        <v>14508.324953759649</v>
      </c>
      <c r="O8" s="479">
        <f>industrie!O18</f>
        <v>0</v>
      </c>
      <c r="P8" s="480">
        <f>industrie!P18</f>
        <v>0</v>
      </c>
      <c r="Q8" s="478">
        <f t="shared" si="0"/>
        <v>229757.70370816908</v>
      </c>
    </row>
    <row r="9" spans="1:17" s="484" customFormat="1">
      <c r="A9" s="482" t="s">
        <v>571</v>
      </c>
      <c r="B9" s="483">
        <f>transport!B14</f>
        <v>34.718242408139723</v>
      </c>
      <c r="C9" s="483"/>
      <c r="D9" s="483">
        <f>transport!D14</f>
        <v>90.77026423078766</v>
      </c>
      <c r="E9" s="483">
        <f>transport!E14</f>
        <v>668.60733311560443</v>
      </c>
      <c r="F9" s="483"/>
      <c r="G9" s="483">
        <f>transport!G14</f>
        <v>218483.73829408485</v>
      </c>
      <c r="H9" s="483">
        <f>transport!H14</f>
        <v>35274.305408742031</v>
      </c>
      <c r="I9" s="483"/>
      <c r="J9" s="483"/>
      <c r="K9" s="483"/>
      <c r="L9" s="483"/>
      <c r="M9" s="483">
        <f>transport!M14</f>
        <v>13724.154077578578</v>
      </c>
      <c r="N9" s="483"/>
      <c r="O9" s="483"/>
      <c r="P9" s="483"/>
      <c r="Q9" s="482">
        <f>SUM(B9:P9)</f>
        <v>268276.29362015997</v>
      </c>
    </row>
    <row r="10" spans="1:17">
      <c r="A10" s="478" t="s">
        <v>561</v>
      </c>
      <c r="B10" s="479">
        <f>transport!B54</f>
        <v>0</v>
      </c>
      <c r="C10" s="479"/>
      <c r="D10" s="479">
        <f>transport!D54</f>
        <v>0</v>
      </c>
      <c r="E10" s="479"/>
      <c r="F10" s="479"/>
      <c r="G10" s="479">
        <f>transport!G54</f>
        <v>2453.6111868844414</v>
      </c>
      <c r="H10" s="479"/>
      <c r="I10" s="479"/>
      <c r="J10" s="479"/>
      <c r="K10" s="479"/>
      <c r="L10" s="479"/>
      <c r="M10" s="479">
        <f>transport!M54</f>
        <v>139.9222933250249</v>
      </c>
      <c r="N10" s="479"/>
      <c r="O10" s="479"/>
      <c r="P10" s="480"/>
      <c r="Q10" s="478">
        <f t="shared" si="0"/>
        <v>2593.5334802094662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101597.21523052358</v>
      </c>
      <c r="C14" s="489">
        <f t="shared" ref="C14:Q14" ca="1" si="1">SUM(C4:C13)</f>
        <v>0</v>
      </c>
      <c r="D14" s="489">
        <f t="shared" ca="1" si="1"/>
        <v>198526.46682223078</v>
      </c>
      <c r="E14" s="489">
        <f t="shared" si="1"/>
        <v>5327.3448641414816</v>
      </c>
      <c r="F14" s="489">
        <f t="shared" ca="1" si="1"/>
        <v>124777.92922775552</v>
      </c>
      <c r="G14" s="489">
        <f t="shared" si="1"/>
        <v>220937.34948096928</v>
      </c>
      <c r="H14" s="489">
        <f t="shared" si="1"/>
        <v>35274.305408742031</v>
      </c>
      <c r="I14" s="489">
        <f t="shared" si="1"/>
        <v>0</v>
      </c>
      <c r="J14" s="489">
        <f t="shared" si="1"/>
        <v>650.53343705110149</v>
      </c>
      <c r="K14" s="489">
        <f t="shared" si="1"/>
        <v>0</v>
      </c>
      <c r="L14" s="489">
        <f t="shared" ca="1" si="1"/>
        <v>0</v>
      </c>
      <c r="M14" s="489">
        <f t="shared" si="1"/>
        <v>13864.076370903604</v>
      </c>
      <c r="N14" s="489">
        <f t="shared" ca="1" si="1"/>
        <v>25940.783334333475</v>
      </c>
      <c r="O14" s="489">
        <f t="shared" si="1"/>
        <v>436.17000000000007</v>
      </c>
      <c r="P14" s="490">
        <f t="shared" si="1"/>
        <v>1487.2</v>
      </c>
      <c r="Q14" s="490">
        <f t="shared" ca="1" si="1"/>
        <v>728819.37417665077</v>
      </c>
    </row>
    <row r="16" spans="1:17">
      <c r="A16" s="492" t="s">
        <v>566</v>
      </c>
      <c r="B16" s="842">
        <f ca="1">huishoudens!B10</f>
        <v>0.20171779424470138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7799.3741341593168</v>
      </c>
      <c r="C21" s="479">
        <f t="shared" ref="C21:C28" ca="1" si="3">C4*$C$16</f>
        <v>0</v>
      </c>
      <c r="D21" s="479">
        <f t="shared" ref="D21:D30" si="4">D4*$D$16</f>
        <v>12349.454962108</v>
      </c>
      <c r="E21" s="479">
        <f t="shared" ref="E21:E30" si="5">E4*$E$16</f>
        <v>771.08679113315372</v>
      </c>
      <c r="F21" s="479">
        <f t="shared" ref="F21:F28" si="6">F4*$F$16</f>
        <v>17901.138122771474</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38821.054010171945</v>
      </c>
    </row>
    <row r="22" spans="1:17">
      <c r="A22" s="478" t="s">
        <v>156</v>
      </c>
      <c r="B22" s="479">
        <f t="shared" ca="1" si="2"/>
        <v>3743.2500776144948</v>
      </c>
      <c r="C22" s="479">
        <f t="shared" ca="1" si="3"/>
        <v>0</v>
      </c>
      <c r="D22" s="479">
        <f t="shared" ca="1" si="4"/>
        <v>4211.3005478280002</v>
      </c>
      <c r="E22" s="479">
        <f t="shared" si="5"/>
        <v>45.700916492191247</v>
      </c>
      <c r="F22" s="479">
        <f t="shared" ca="1" si="6"/>
        <v>733.71237612704726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8733.9639180617323</v>
      </c>
    </row>
    <row r="23" spans="1:17">
      <c r="A23" s="478" t="s">
        <v>194</v>
      </c>
      <c r="B23" s="479">
        <f t="shared" ca="1" si="2"/>
        <v>262.4043909254255</v>
      </c>
      <c r="C23" s="479"/>
      <c r="D23" s="479"/>
      <c r="E23" s="479"/>
      <c r="F23" s="479"/>
      <c r="G23" s="479"/>
      <c r="H23" s="479"/>
      <c r="I23" s="479"/>
      <c r="J23" s="479"/>
      <c r="K23" s="479"/>
      <c r="L23" s="479"/>
      <c r="M23" s="479"/>
      <c r="N23" s="479"/>
      <c r="O23" s="479"/>
      <c r="P23" s="480"/>
      <c r="Q23" s="478">
        <f t="shared" ca="1" si="17"/>
        <v>262.4043909254255</v>
      </c>
    </row>
    <row r="24" spans="1:17">
      <c r="A24" s="478" t="s">
        <v>112</v>
      </c>
      <c r="B24" s="479">
        <f t="shared" ca="1" si="2"/>
        <v>44.050728471569393</v>
      </c>
      <c r="C24" s="479">
        <f t="shared" ca="1" si="3"/>
        <v>0</v>
      </c>
      <c r="D24" s="479">
        <f t="shared" si="4"/>
        <v>26.260698112</v>
      </c>
      <c r="E24" s="479">
        <f t="shared" si="5"/>
        <v>0.45915482975288918</v>
      </c>
      <c r="F24" s="479">
        <f t="shared" si="6"/>
        <v>147.93577872000432</v>
      </c>
      <c r="G24" s="479">
        <f t="shared" si="7"/>
        <v>0</v>
      </c>
      <c r="H24" s="479">
        <f t="shared" si="8"/>
        <v>0</v>
      </c>
      <c r="I24" s="479">
        <f t="shared" si="9"/>
        <v>0</v>
      </c>
      <c r="J24" s="479">
        <f t="shared" si="10"/>
        <v>11.851843714979895</v>
      </c>
      <c r="K24" s="479">
        <f t="shared" si="11"/>
        <v>0</v>
      </c>
      <c r="L24" s="479">
        <f t="shared" si="12"/>
        <v>0</v>
      </c>
      <c r="M24" s="479">
        <f t="shared" si="13"/>
        <v>0</v>
      </c>
      <c r="N24" s="479">
        <f t="shared" si="14"/>
        <v>0</v>
      </c>
      <c r="O24" s="479">
        <f t="shared" si="15"/>
        <v>0</v>
      </c>
      <c r="P24" s="480">
        <f t="shared" si="16"/>
        <v>0</v>
      </c>
      <c r="Q24" s="478">
        <f t="shared" ca="1" si="17"/>
        <v>230.5582038483065</v>
      </c>
    </row>
    <row r="25" spans="1:17">
      <c r="A25" s="478" t="s">
        <v>650</v>
      </c>
      <c r="B25" s="479">
        <f t="shared" ca="1" si="2"/>
        <v>8637.8835392559668</v>
      </c>
      <c r="C25" s="479">
        <f t="shared" ca="1" si="3"/>
        <v>0</v>
      </c>
      <c r="D25" s="479">
        <f t="shared" si="4"/>
        <v>23496.994496668005</v>
      </c>
      <c r="E25" s="479">
        <f t="shared" si="5"/>
        <v>240.2865570877764</v>
      </c>
      <c r="F25" s="479">
        <f t="shared" si="6"/>
        <v>14532.920826192203</v>
      </c>
      <c r="G25" s="479">
        <f t="shared" si="7"/>
        <v>0</v>
      </c>
      <c r="H25" s="479">
        <f t="shared" si="8"/>
        <v>0</v>
      </c>
      <c r="I25" s="479">
        <f t="shared" si="9"/>
        <v>0</v>
      </c>
      <c r="J25" s="479">
        <f t="shared" si="10"/>
        <v>218.43699300111004</v>
      </c>
      <c r="K25" s="479">
        <f t="shared" si="11"/>
        <v>0</v>
      </c>
      <c r="L25" s="479">
        <f t="shared" si="12"/>
        <v>0</v>
      </c>
      <c r="M25" s="479">
        <f t="shared" si="13"/>
        <v>0</v>
      </c>
      <c r="N25" s="479">
        <f t="shared" si="14"/>
        <v>0</v>
      </c>
      <c r="O25" s="479">
        <f t="shared" si="15"/>
        <v>0</v>
      </c>
      <c r="P25" s="480">
        <f t="shared" si="16"/>
        <v>0</v>
      </c>
      <c r="Q25" s="478">
        <f t="shared" ca="1" si="17"/>
        <v>47126.522412205064</v>
      </c>
    </row>
    <row r="26" spans="1:17" s="484" customFormat="1">
      <c r="A26" s="482" t="s">
        <v>571</v>
      </c>
      <c r="B26" s="836">
        <f t="shared" ca="1" si="2"/>
        <v>7.0032872786227944</v>
      </c>
      <c r="C26" s="483"/>
      <c r="D26" s="483">
        <f t="shared" si="4"/>
        <v>18.335593374619108</v>
      </c>
      <c r="E26" s="483">
        <f t="shared" si="5"/>
        <v>151.77386461724222</v>
      </c>
      <c r="F26" s="483"/>
      <c r="G26" s="483">
        <f t="shared" si="7"/>
        <v>58335.158124520654</v>
      </c>
      <c r="H26" s="483">
        <f t="shared" si="8"/>
        <v>8783.3020467767656</v>
      </c>
      <c r="I26" s="483"/>
      <c r="J26" s="483"/>
      <c r="K26" s="483"/>
      <c r="L26" s="483"/>
      <c r="M26" s="483">
        <f t="shared" si="13"/>
        <v>0</v>
      </c>
      <c r="N26" s="483"/>
      <c r="O26" s="483"/>
      <c r="P26" s="494"/>
      <c r="Q26" s="482">
        <f t="shared" ca="1" si="17"/>
        <v>67295.572916567908</v>
      </c>
    </row>
    <row r="27" spans="1:17">
      <c r="A27" s="478" t="s">
        <v>561</v>
      </c>
      <c r="B27" s="479">
        <f t="shared" ca="1" si="2"/>
        <v>0</v>
      </c>
      <c r="C27" s="479"/>
      <c r="D27" s="483">
        <f t="shared" si="4"/>
        <v>0</v>
      </c>
      <c r="E27" s="479"/>
      <c r="F27" s="479"/>
      <c r="G27" s="479">
        <f t="shared" si="7"/>
        <v>655.11418689814593</v>
      </c>
      <c r="H27" s="479"/>
      <c r="I27" s="479"/>
      <c r="J27" s="479"/>
      <c r="K27" s="479"/>
      <c r="L27" s="479"/>
      <c r="M27" s="479">
        <f t="shared" si="13"/>
        <v>0</v>
      </c>
      <c r="N27" s="479"/>
      <c r="O27" s="479"/>
      <c r="P27" s="480"/>
      <c r="Q27" s="478">
        <f t="shared" ca="1" si="17"/>
        <v>655.11418689814593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20493.966157705396</v>
      </c>
      <c r="C31" s="489">
        <f t="shared" ca="1" si="18"/>
        <v>0</v>
      </c>
      <c r="D31" s="489">
        <f t="shared" ca="1" si="18"/>
        <v>40102.346298090626</v>
      </c>
      <c r="E31" s="489">
        <f t="shared" si="18"/>
        <v>1209.3072841601165</v>
      </c>
      <c r="F31" s="489">
        <f t="shared" ca="1" si="18"/>
        <v>33315.707103810731</v>
      </c>
      <c r="G31" s="489">
        <f t="shared" si="18"/>
        <v>58990.272311418797</v>
      </c>
      <c r="H31" s="489">
        <f t="shared" si="18"/>
        <v>8783.3020467767656</v>
      </c>
      <c r="I31" s="489">
        <f t="shared" si="18"/>
        <v>0</v>
      </c>
      <c r="J31" s="489">
        <f t="shared" si="18"/>
        <v>230.28883671608995</v>
      </c>
      <c r="K31" s="489">
        <f t="shared" si="18"/>
        <v>0</v>
      </c>
      <c r="L31" s="489">
        <f t="shared" ca="1" si="18"/>
        <v>0</v>
      </c>
      <c r="M31" s="489">
        <f t="shared" si="18"/>
        <v>0</v>
      </c>
      <c r="N31" s="489">
        <f t="shared" ca="1" si="18"/>
        <v>0</v>
      </c>
      <c r="O31" s="489">
        <f t="shared" si="18"/>
        <v>0</v>
      </c>
      <c r="P31" s="490">
        <f t="shared" si="18"/>
        <v>0</v>
      </c>
      <c r="Q31" s="490">
        <f t="shared" ca="1" si="18"/>
        <v>163125.1900386785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0.20171779424470138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0.20171779424470138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0.20171779424470138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2019-01-01T21:34:24Z</dcterms:modified>
</cp:coreProperties>
</file>