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J23" s="1"/>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I14" i="48"/>
  <c r="E5" i="15"/>
  <c r="O20"/>
  <c r="P36" i="14" s="1"/>
  <c r="P10"/>
  <c r="P20" i="15"/>
  <c r="Q36" i="14" s="1"/>
  <c r="Q41" s="1"/>
  <c r="Q53" s="1"/>
  <c r="Q10"/>
  <c r="Q15" s="1"/>
  <c r="Q23" s="1"/>
  <c r="J5" i="15"/>
  <c r="F4" i="48"/>
  <c r="F21" s="1"/>
  <c r="B69" i="14"/>
  <c r="B4" i="6" s="1"/>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G14" i="22" l="1"/>
  <c r="G9" i="48" s="1"/>
  <c r="N7"/>
  <c r="N24"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J67" i="14"/>
  <c r="I9" i="18"/>
  <c r="G58" i="22"/>
  <c r="H44" i="14" s="1"/>
  <c r="G10" i="48"/>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E5" i="48" l="1"/>
  <c r="E22" s="1"/>
  <c r="R22" i="14"/>
  <c r="E20" i="15"/>
  <c r="F36" i="14" s="1"/>
  <c r="O31" i="48"/>
  <c r="F18" i="16"/>
  <c r="G13" i="14" s="1"/>
  <c r="G15" s="1"/>
  <c r="G23" s="1"/>
  <c r="M16" i="18"/>
  <c r="M19" s="1"/>
  <c r="K10" i="14"/>
  <c r="R10" s="1"/>
  <c r="J18" i="16"/>
  <c r="J22" s="1"/>
  <c r="K39" i="14" s="1"/>
  <c r="Q7" i="48"/>
  <c r="E8"/>
  <c r="E25" s="1"/>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K13" i="14"/>
  <c r="B14" i="48"/>
  <c r="J69" i="14"/>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E31" l="1"/>
  <c r="N25"/>
  <c r="N31" s="1"/>
  <c r="N14"/>
  <c r="K41" i="14"/>
  <c r="K53" s="1"/>
  <c r="K55" s="1"/>
  <c r="E14" i="48"/>
  <c r="K15" i="14"/>
  <c r="K23" s="1"/>
  <c r="H55"/>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<sst xmlns="http://schemas.openxmlformats.org/spreadsheetml/2006/main" count="2137" uniqueCount="871">
  <si>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</si>
  <si>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</si>
  <si>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</si>
  <si>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</si>
  <si>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</si>
  <si>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</si>
  <si>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</si>
  <si>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</si>
  <si>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</si>
  <si>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</si>
  <si>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</si>
  <si>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</si>
  <si>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</si>
  <si>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</si>
  <si>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</si>
  <si>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</si>
  <si>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</si>
  <si>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</si>
  <si>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</si>
  <si>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</si>
  <si>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</si>
  <si>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</si>
  <si>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</si>
  <si>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</si>
  <si>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</si>
  <si>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</si>
  <si>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</si>
  <si>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</si>
  <si>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</si>
  <si>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</si>
  <si>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</si>
  <si>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</si>
  <si>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</si>
  <si>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</si>
  <si>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</si>
  <si>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</si>
  <si>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</si>
  <si>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</si>
  <si>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</si>
  <si>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</si>
  <si>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</si>
  <si>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</si>
  <si>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</si>
  <si>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</si>
  <si>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</si>
  <si>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</si>
  <si>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</si>
  <si>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</si>
  <si>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</si>
  <si>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</si>
  <si>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</si>
  <si>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</si>
  <si>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</si>
  <si>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</si>
  <si>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</si>
  <si>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</si>
  <si>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</si>
  <si>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</si>
  <si>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</si>
  <si>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</si>
  <si>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</si>
  <si>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</si>
  <si>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</si>
  <si>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</si>
  <si>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</si>
  <si>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</si>
  <si>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</si>
  <si>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</si>
  <si>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</si>
  <si>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</si>
  <si>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</si>
  <si>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</si>
  <si>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</si>
  <si>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</si>
  <si>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</si>
  <si>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</si>
  <si>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</si>
  <si>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</si>
  <si>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</si>
  <si>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</si>
  <si>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</si>
  <si>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</si>
  <si>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</si>
  <si>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</si>
  <si>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</si>
  <si>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</si>
  <si>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</si>
  <si>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</si>
  <si>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</si>
  <si>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</si>
  <si>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</si>
  <si>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</si>
  <si>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</si>
  <si>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</si>
  <si>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</si>
  <si>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</si>
  <si>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</si>
  <si>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</si>
  <si>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</si>
  <si>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</si>
  <si>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</si>
  <si>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</si>
  <si>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</si>
  <si>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</si>
  <si>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</si>
  <si>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</si>
  <si>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</si>
  <si>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</si>
  <si>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</si>
  <si>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</si>
  <si>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</si>
  <si>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</si>
  <si>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</si>
  <si>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</si>
  <si>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</si>
  <si>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</si>
  <si>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</si>
  <si>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</si>
  <si>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</si>
  <si>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</si>
  <si>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</si>
  <si>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</si>
  <si>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</si>
  <si>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</si>
  <si>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</si>
  <si>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</si>
  <si>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</si>
  <si>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</si>
  <si>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</si>
  <si>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</si>
  <si>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</si>
  <si>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</si>
  <si>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</si>
  <si>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</si>
  <si>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</si>
  <si>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</si>
  <si>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</si>
  <si>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</si>
  <si>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</si>
  <si>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</si>
  <si>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</si>
  <si>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</si>
  <si>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</si>
  <si>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</si>
  <si>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</si>
  <si>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</si>
  <si>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</si>
  <si>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</si>
  <si>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</si>
  <si>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</si>
  <si>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</si>
  <si>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</si>
  <si>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</si>
  <si>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</si>
  <si>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</si>
  <si>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</si>
  <si>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</si>
  <si>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</si>
  <si>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</si>
  <si>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</si>
  <si>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</si>
  <si>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</si>
  <si>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</si>
  <si>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</si>
  <si>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</si>
  <si>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</si>
  <si>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</si>
  <si>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</si>
  <si>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</si>
  <si>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</si>
  <si>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</si>
  <si>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</si>
  <si>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</si>
  <si>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</si>
  <si>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</si>
  <si>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</si>
  <si>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</si>
  <si>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</si>
  <si>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</si>
  <si>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</si>
  <si>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</si>
  <si>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</si>
  <si>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</si>
  <si>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</si>
  <si>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</si>
  <si>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</si>
  <si>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</si>
  <si>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</si>
  <si>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</si>
  <si>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</si>
  <si>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</si>
  <si>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</si>
  <si>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</si>
  <si>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</si>
  <si>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</si>
  <si>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</si>
  <si>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</si>
  <si>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</si>
  <si>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</si>
  <si>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</si>
  <si>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</si>
  <si>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</si>
  <si>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</si>
  <si>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</si>
  <si>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</si>
  <si>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</si>
  <si>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</si>
  <si>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</si>
  <si>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</si>
  <si>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</si>
  <si>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</si>
  <si>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</si>
  <si>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</si>
  <si>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</si>
  <si>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</si>
  <si>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</si>
  <si>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</si>
  <si>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</si>
  <si>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</si>
  <si>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</si>
  <si>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</si>
  <si>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</si>
  <si>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</si>
  <si>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</si>
  <si>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</si>
  <si>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</si>
  <si>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</si>
  <si>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</si>
  <si>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</si>
  <si>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</si>
  <si>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</si>
  <si>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</si>
  <si>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</si>
  <si>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</si>
  <si>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</si>
  <si>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</si>
  <si>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</si>
  <si>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</si>
  <si>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</si>
  <si>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</si>
  <si>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</si>
  <si>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</si>
  <si>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</si>
  <si>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</si>
  <si>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</si>
  <si>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</si>
  <si>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</si>
  <si>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</si>
  <si>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</si>
  <si>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</si>
  <si>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</si>
  <si>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</si>
  <si>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</si>
  <si>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</si>
  <si>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</si>
  <si>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</si>
  <si>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</si>
  <si>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</si>
  <si>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</si>
  <si>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</si>
  <si>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</si>
  <si>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</si>
  <si>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</si>
  <si>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</si>
  <si>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</si>
  <si>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</si>
  <si>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</si>
  <si>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</si>
  <si>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</si>
  <si>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</si>
  <si>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</si>
  <si>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</si>
  <si>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</si>
  <si>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</si>
  <si>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</si>
  <si>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</si>
  <si>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</si>
  <si>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</si>
  <si>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</si>
  <si>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</si>
  <si>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</si>
  <si>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</si>
  <si>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</si>
  <si>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</si>
  <si>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</si>
  <si>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</si>
  <si>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</si>
  <si>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</si>
  <si>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</si>
  <si>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</si>
  <si>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</si>
  <si>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</si>
  <si>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</si>
  <si>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</si>
  <si>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</si>
  <si>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</si>
  <si>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</si>
  <si>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</si>
  <si>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</si>
  <si>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</si>
  <si>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</si>
  <si>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</si>
  <si>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</si>
  <si>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</si>
  <si>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</si>
  <si>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</si>
  <si>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</si>
  <si>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</si>
  <si>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</si>
  <si>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</si>
  <si>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</si>
  <si>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</si>
  <si>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</si>
  <si>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</si>
  <si>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</si>
  <si>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</si>
  <si>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</si>
  <si>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</si>
  <si>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</si>
  <si>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</si>
  <si>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</si>
  <si>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</si>
  <si>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</si>
  <si>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</si>
  <si>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</si>
  <si>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</si>
  <si>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</si>
  <si>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</si>
  <si>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</si>
  <si>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</si>
  <si>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</si>
  <si>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</si>
  <si>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</si>
  <si>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</si>
  <si>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</si>
  <si>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</si>
  <si>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</si>
  <si>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</si>
  <si>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</si>
  <si>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</si>
  <si>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</si>
  <si>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</si>
  <si>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</si>
  <si>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</si>
  <si>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</si>
  <si>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</si>
  <si>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</si>
  <si>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</si>
  <si>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</si>
  <si>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</si>
  <si>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</si>
  <si>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</si>
  <si>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</si>
  <si>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</si>
  <si>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</si>
  <si>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</si>
  <si>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</si>
  <si>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</si>
  <si>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</si>
  <si>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</si>
  <si>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</si>
  <si>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</si>
  <si>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</si>
  <si>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</si>
  <si>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</si>
  <si>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</si>
  <si>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</si>
  <si>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</si>
  <si>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</si>
  <si>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</si>
  <si>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</si>
  <si>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</si>
  <si>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</si>
  <si>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</si>
  <si>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</si>
  <si>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</si>
  <si>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</si>
  <si>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</si>
  <si>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</si>
  <si>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</si>
  <si>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</si>
  <si>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</si>
  <si>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</si>
  <si>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</si>
  <si>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</si>
  <si>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</si>
  <si>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</si>
  <si>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</si>
  <si>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</si>
  <si>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</si>
  <si>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</si>
  <si>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</si>
  <si>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</si>
  <si>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</si>
  <si>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</si>
  <si>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</si>
  <si>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</si>
  <si>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</si>
  <si>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</si>
  <si>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</si>
  <si>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</si>
  <si>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</si>
  <si>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</si>
  <si>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</si>
  <si>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</si>
  <si>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</si>
  <si>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</si>
  <si>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</si>
  <si>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</si>
  <si>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</si>
  <si>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</si>
  <si>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</si>
  <si>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</si>
  <si>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</si>
  <si>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</si>
  <si>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</si>
  <si>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</si>
  <si>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</si>
  <si>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</si>
  <si>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</si>
  <si>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</si>
  <si>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</si>
  <si>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</si>
  <si>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</si>
  <si>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</si>
  <si>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</si>
  <si>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</si>
  <si>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</si>
  <si>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</si>
  <si>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</si>
  <si>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</si>
  <si>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</si>
  <si>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</si>
  <si>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</si>
  <si>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</si>
  <si>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</si>
  <si>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</si>
  <si>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</si>
  <si>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</si>
  <si>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</si>
  <si>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</si>
  <si>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</si>
  <si>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</si>
  <si>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</si>
  <si>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</si>
  <si>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</si>
  <si>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</si>
  <si>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</si>
  <si>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</si>
  <si>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</si>
  <si>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</si>
  <si>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</si>
  <si>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</si>
  <si>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</si>
  <si>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</si>
  <si>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</si>
  <si>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</si>
  <si>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</si>
  <si>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</si>
  <si>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</si>
  <si>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</si>
  <si>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</si>
  <si>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</si>
  <si>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</si>
  <si>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</si>
  <si>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</si>
  <si>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</si>
  <si>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</si>
  <si>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</si>
  <si>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</si>
  <si>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</si>
  <si>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</si>
  <si>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</si>
  <si>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</si>
  <si>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</si>
  <si>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</si>
  <si>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</si>
  <si>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</si>
  <si>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</si>
  <si>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</si>
  <si>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</si>
  <si>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</si>
  <si>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</si>
  <si>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</si>
  <si>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</si>
  <si>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</si>
  <si>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</si>
  <si>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</si>
  <si>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</si>
  <si>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</si>
  <si>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</si>
  <si>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</si>
  <si>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</si>
  <si>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</si>
  <si>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</si>
  <si>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</si>
  <si>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</si>
  <si>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</si>
  <si>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</si>
  <si>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</si>
  <si>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</si>
  <si>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</si>
  <si>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</si>
  <si>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</si>
  <si>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</si>
  <si>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</si>
  <si>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</si>
  <si>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</si>
  <si>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</si>
  <si>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</si>
  <si>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</si>
  <si>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</si>
  <si>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</si>
  <si>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</si>
  <si>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</si>
  <si>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</si>
  <si>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</si>
  <si>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</si>
  <si>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</si>
  <si>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</si>
  <si>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</si>
  <si>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</si>
  <si>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</si>
  <si>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</si>
  <si>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</si>
  <si>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</si>
  <si>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</si>
  <si>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</si>
  <si>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</si>
  <si>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</si>
  <si>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</si>
  <si>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</si>
  <si>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</si>
  <si>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</si>
  <si>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</si>
  <si>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</si>
  <si>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</si>
  <si>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</si>
  <si>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</si>
  <si>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</si>
  <si>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</si>
  <si>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</si>
  <si>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</si>
  <si>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</si>
  <si>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</si>
  <si>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</si>
  <si>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</si>
  <si>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</si>
  <si>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</si>
  <si>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</si>
  <si>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</si>
  <si>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</si>
  <si>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</si>
  <si>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</si>
  <si>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</si>
  <si>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</si>
  <si>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</si>
  <si>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</si>
  <si>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</si>
  <si>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</si>
  <si>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</si>
  <si>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</si>
  <si>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</si>
  <si>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</si>
  <si>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</si>
  <si>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</si>
  <si>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</si>
  <si>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</si>
  <si>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</si>
  <si>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</si>
  <si>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</si>
  <si>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</si>
  <si>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</si>
  <si>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</si>
  <si>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</si>
  <si>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</si>
  <si>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</si>
  <si>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</si>
  <si>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</si>
  <si>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</si>
  <si>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</si>
  <si>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</si>
  <si>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</si>
  <si>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</si>
  <si>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</si>
  <si>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</si>
  <si>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</si>
  <si>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</si>
  <si>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</si>
  <si>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</si>
  <si>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</si>
  <si>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</si>
  <si>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</si>
  <si>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</si>
  <si>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</si>
  <si>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</si>
  <si>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</si>
  <si>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</si>
  <si>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</si>
  <si>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</si>
  <si>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</si>
  <si>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</si>
  <si>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</si>
  <si>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</si>
  <si>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</si>
  <si>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</si>
  <si>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</si>
  <si>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</si>
  <si>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</si>
  <si>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</si>
  <si>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</si>
  <si>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</si>
  <si>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</si>
  <si>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</si>
  <si>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</si>
  <si>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</si>
  <si>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</si>
  <si>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</si>
  <si>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</si>
  <si>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</si>
  <si>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</si>
  <si>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</si>
  <si>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</si>
  <si>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</si>
  <si>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</si>
  <si>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</si>
  <si>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</si>
  <si>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</si>
  <si>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</si>
  <si>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</si>
  <si>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</si>
  <si>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</si>
  <si>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</si>
  <si>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</si>
  <si>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</si>
  <si>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</si>
  <si>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</si>
  <si>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</si>
  <si>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</si>
  <si>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</si>
  <si>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</si>
  <si>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</si>
  <si>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</si>
  <si>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</si>
  <si>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</si>
  <si>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</si>
  <si>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</si>
  <si>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</si>
  <si>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</si>
  <si>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</si>
  <si>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</si>
  <si>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</si>
  <si>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</si>
  <si>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</si>
  <si>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</si>
  <si>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</si>
  <si>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</si>
  <si>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</si>
  <si>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</si>
  <si>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</si>
  <si>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</si>
  <si>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</si>
  <si>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</si>
  <si>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</si>
  <si>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</si>
  <si>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</si>
  <si>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</si>
  <si>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</si>
  <si>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</si>
  <si>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</si>
  <si>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</si>
  <si>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</si>
  <si>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</si>
  <si>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</si>
  <si>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</si>
  <si>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</si>
  <si>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</si>
  <si>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</si>
  <si>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</si>
  <si>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</si>
  <si>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</si>
  <si>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</si>
  <si>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</si>
  <si>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</si>
  <si>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</si>
  <si>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</si>
  <si>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</si>
  <si>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</si>
  <si>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</si>
  <si>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</si>
  <si>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</si>
  <si>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</si>
  <si>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</si>
  <si>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</si>
  <si>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</si>
  <si>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</si>
  <si>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</si>
  <si>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</si>
  <si>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</si>
  <si>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</si>
  <si>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</si>
  <si>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</si>
  <si>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</si>
  <si>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</si>
  <si>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</si>
  <si>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</si>
  <si>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</si>
  <si>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</si>
  <si>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</si>
  <si>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</si>
  <si>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</si>
  <si>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</si>
  <si>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</si>
  <si>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</si>
  <si>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</si>
  <si>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</si>
  <si>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</si>
  <si>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</si>
  <si>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</si>
  <si>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</si>
  <si>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</si>
  <si>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</si>
  <si>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</si>
  <si>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</si>
  <si>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</si>
  <si>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</si>
  <si>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</si>
  <si>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</si>
  <si>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</si>
  <si>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</si>
  <si>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</si>
  <si>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</si>
  <si>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</si>
  <si>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</si>
  <si>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</si>
  <si>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</si>
  <si>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</si>
  <si>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</si>
  <si>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</si>
  <si>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</si>
  <si>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</si>
  <si>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</si>
  <si>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</si>
  <si>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</si>
  <si>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</si>
  <si>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</si>
  <si>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</si>
  <si>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</si>
  <si>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</si>
  <si>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</si>
  <si>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</si>
  <si>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</si>
  <si>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</si>
  <si>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</si>
  <si>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</si>
  <si>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</si>
  <si>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</si>
  <si>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</si>
  <si>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</si>
  <si>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</si>
  <si>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</si>
  <si>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</si>
  <si>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</si>
  <si>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</si>
  <si>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</si>
  <si>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</si>
  <si>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</si>
  <si>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</si>
  <si>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</si>
  <si>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</si>
  <si>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</si>
  <si>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</si>
  <si>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</si>
  <si>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</si>
  <si>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</si>
  <si>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</si>
  <si>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</si>
  <si>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</si>
  <si>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</si>
  <si>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</si>
  <si>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</si>
  <si>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</si>
  <si>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</si>
  <si>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</si>
  <si>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</si>
  <si>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</si>
  <si>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</si>
  <si>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</si>
  <si>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</si>
  <si>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</si>
  <si>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</si>
  <si>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</si>
  <si>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</si>
  <si>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</si>
  <si>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</si>
  <si>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</si>
  <si>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</si>
  <si>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</si>
  <si>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</si>
  <si>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</si>
  <si>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</si>
  <si>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</si>
  <si>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</si>
  <si>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</si>
  <si>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</si>
  <si>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</si>
  <si>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</si>
  <si>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</si>
  <si>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</si>
  <si>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</si>
  <si>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</si>
  <si>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</si>
  <si>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</si>
  <si>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</si>
  <si>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</si>
  <si>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</si>
  <si>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</si>
  <si>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</si>
  <si>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</si>
  <si>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</si>
  <si>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</si>
  <si>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</si>
  <si>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</si>
  <si>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</si>
  <si>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</si>
  <si>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</si>
  <si>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</si>
  <si>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</si>
  <si>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</si>
  <si>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</si>
  <si>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</si>
  <si>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</si>
  <si>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</si>
  <si>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</si>
  <si>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</si>
  <si>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</si>
  <si>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</si>
  <si>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</si>
  <si>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</si>
  <si>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</si>
  <si>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</si>
  <si>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</si>
  <si>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</si>
  <si>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</si>
  <si>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</si>
  <si>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</si>
  <si>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</si>
  <si>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</si>
  <si>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</si>
  <si>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</si>
  <si>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</si>
  <si>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</si>
  <si>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</si>
  <si>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</si>
  <si>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</si>
  <si>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</si>
  <si>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</si>
  <si>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</si>
  <si>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</si>
  <si>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</si>
  <si>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</si>
  <si>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</si>
  <si>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</si>
  <si>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71045</t>
  </si>
  <si>
    <t>NIEUWERKERKEN</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</si>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</sst>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67307.879928516297</c:v>
                </c:pt>
                <c:pt idx="1">
                  <c:v>10098.295964617255</c:v>
                </c:pt>
                <c:pt idx="2">
                  <c:v>504.84399999999999</c:v>
                </c:pt>
                <c:pt idx="3">
                  <c:v>13982.834377348025</c:v>
                </c:pt>
                <c:pt idx="4">
                  <c:v>2103.7665434925993</c:v>
                </c:pt>
                <c:pt idx="5">
                  <c:v>23387.603869218477</c:v>
                </c:pt>
                <c:pt idx="6">
                  <c:v>1021.5351294916134</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4000"/>
        <c:axId val="165745792"/>
      </c:barChart>
      <c:catAx>
        <c:axId val="165744000"/>
        <c:scaling>
          <c:orientation val="minMax"/>
        </c:scaling>
        <c:axPos val="b"/>
        <c:numFmt formatCode="General" sourceLinked="0"/>
        <c:tickLblPos val="nextTo"/>
        <c:crossAx val="165745792"/>
        <c:crosses val="autoZero"/>
        <c:auto val="1"/>
        <c:lblAlgn val="ctr"/>
        <c:lblOffset val="100"/>
      </c:catAx>
      <c:valAx>
        <c:axId val="165745792"/>
        <c:scaling>
          <c:orientation val="minMax"/>
        </c:scaling>
        <c:axPos val="l"/>
        <c:majorGridlines/>
        <c:numFmt formatCode="#,##0" sourceLinked="1"/>
        <c:tickLblPos val="nextTo"/>
        <c:crossAx val="165744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67307.879928516297</c:v>
                </c:pt>
                <c:pt idx="1">
                  <c:v>10098.295964617255</c:v>
                </c:pt>
                <c:pt idx="2">
                  <c:v>504.84399999999999</c:v>
                </c:pt>
                <c:pt idx="3">
                  <c:v>13982.834377348025</c:v>
                </c:pt>
                <c:pt idx="4">
                  <c:v>2103.7665434925993</c:v>
                </c:pt>
                <c:pt idx="5">
                  <c:v>23387.603869218477</c:v>
                </c:pt>
                <c:pt idx="6">
                  <c:v>1021.5351294916134</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14536.876028565192</c:v>
                </c:pt>
                <c:pt idx="1">
                  <c:v>1785.6479994307338</c:v>
                </c:pt>
                <c:pt idx="2">
                  <c:v>88.524501662461461</c:v>
                </c:pt>
                <c:pt idx="3">
                  <c:v>3434.5793948346936</c:v>
                </c:pt>
                <c:pt idx="4">
                  <c:v>406.62917636656135</c:v>
                </c:pt>
                <c:pt idx="5">
                  <c:v>5849.8409092498205</c:v>
                </c:pt>
                <c:pt idx="6">
                  <c:v>258.03490136196001</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78944"/>
      </c:barChart>
      <c:catAx>
        <c:axId val="179321088"/>
        <c:scaling>
          <c:orientation val="minMax"/>
        </c:scaling>
        <c:axPos val="b"/>
        <c:numFmt formatCode="General" sourceLinked="0"/>
        <c:tickLblPos val="nextTo"/>
        <c:crossAx val="180178944"/>
        <c:crosses val="autoZero"/>
        <c:auto val="1"/>
        <c:lblAlgn val="ctr"/>
        <c:lblOffset val="100"/>
      </c:catAx>
      <c:valAx>
        <c:axId val="180178944"/>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14536.876028565192</c:v>
                </c:pt>
                <c:pt idx="1">
                  <c:v>1785.6479994307338</c:v>
                </c:pt>
                <c:pt idx="2">
                  <c:v>88.524501662461461</c:v>
                </c:pt>
                <c:pt idx="3">
                  <c:v>3434.5793948346936</c:v>
                </c:pt>
                <c:pt idx="4">
                  <c:v>406.62917636656135</c:v>
                </c:pt>
                <c:pt idx="5">
                  <c:v>5849.8409092498205</c:v>
                </c:pt>
                <c:pt idx="6">
                  <c:v>258.03490136196001</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71045</v>
      </c>
      <c r="B6" s="416"/>
      <c r="C6" s="417"/>
    </row>
    <row r="7" spans="1:7" s="414" customFormat="1" ht="15.75" customHeight="1">
      <c r="A7" s="418" t="str">
        <f>txtMunicipality</f>
        <v>NIEUWERKERKEN</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71045</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2780</v>
      </c>
      <c r="C9" s="342">
        <v>2933</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1300</v>
      </c>
    </row>
    <row r="15" spans="1:6">
      <c r="A15" s="348" t="s">
        <v>184</v>
      </c>
      <c r="B15" s="334">
        <v>1</v>
      </c>
    </row>
    <row r="16" spans="1:6">
      <c r="A16" s="348" t="s">
        <v>6</v>
      </c>
      <c r="B16" s="334">
        <v>67</v>
      </c>
    </row>
    <row r="17" spans="1:6">
      <c r="A17" s="348" t="s">
        <v>7</v>
      </c>
      <c r="B17" s="334">
        <v>200</v>
      </c>
    </row>
    <row r="18" spans="1:6">
      <c r="A18" s="348" t="s">
        <v>8</v>
      </c>
      <c r="B18" s="334">
        <v>246</v>
      </c>
    </row>
    <row r="19" spans="1:6">
      <c r="A19" s="348" t="s">
        <v>9</v>
      </c>
      <c r="B19" s="334">
        <v>221</v>
      </c>
    </row>
    <row r="20" spans="1:6">
      <c r="A20" s="348" t="s">
        <v>10</v>
      </c>
      <c r="B20" s="334">
        <v>308</v>
      </c>
    </row>
    <row r="21" spans="1:6">
      <c r="A21" s="348" t="s">
        <v>11</v>
      </c>
      <c r="B21" s="334">
        <v>1643</v>
      </c>
    </row>
    <row r="22" spans="1:6">
      <c r="A22" s="348" t="s">
        <v>12</v>
      </c>
      <c r="B22" s="334">
        <v>2449</v>
      </c>
    </row>
    <row r="23" spans="1:6">
      <c r="A23" s="348" t="s">
        <v>13</v>
      </c>
      <c r="B23" s="334">
        <v>48</v>
      </c>
    </row>
    <row r="24" spans="1:6">
      <c r="A24" s="348" t="s">
        <v>14</v>
      </c>
      <c r="B24" s="334">
        <v>2</v>
      </c>
    </row>
    <row r="25" spans="1:6">
      <c r="A25" s="348" t="s">
        <v>15</v>
      </c>
      <c r="B25" s="334">
        <v>318</v>
      </c>
    </row>
    <row r="26" spans="1:6">
      <c r="A26" s="348" t="s">
        <v>16</v>
      </c>
      <c r="B26" s="334">
        <v>22</v>
      </c>
    </row>
    <row r="27" spans="1:6">
      <c r="A27" s="348" t="s">
        <v>17</v>
      </c>
      <c r="B27" s="334">
        <v>0</v>
      </c>
    </row>
    <row r="28" spans="1:6" s="356" customFormat="1">
      <c r="A28" s="355" t="s">
        <v>18</v>
      </c>
      <c r="B28" s="355">
        <v>28037</v>
      </c>
    </row>
    <row r="29" spans="1:6">
      <c r="A29" s="355" t="s">
        <v>865</v>
      </c>
      <c r="B29" s="355">
        <v>26</v>
      </c>
      <c r="C29" s="356"/>
      <c r="D29" s="356"/>
      <c r="E29" s="356"/>
      <c r="F29" s="356"/>
    </row>
    <row r="30" spans="1:6">
      <c r="A30" s="341" t="s">
        <v>866</v>
      </c>
      <c r="B30" s="341">
        <v>4</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855</v>
      </c>
      <c r="D39" s="334">
        <v>14180207</v>
      </c>
      <c r="E39" s="334">
        <v>2713</v>
      </c>
      <c r="F39" s="334">
        <v>10209785</v>
      </c>
    </row>
    <row r="40" spans="1:6">
      <c r="A40" s="348" t="s">
        <v>30</v>
      </c>
      <c r="B40" s="348" t="s">
        <v>29</v>
      </c>
      <c r="C40" s="334">
        <v>0</v>
      </c>
      <c r="D40" s="334">
        <v>0</v>
      </c>
      <c r="E40" s="334">
        <v>0</v>
      </c>
      <c r="F40" s="334">
        <v>0</v>
      </c>
    </row>
    <row r="41" spans="1:6">
      <c r="A41" s="348" t="s">
        <v>32</v>
      </c>
      <c r="B41" s="348" t="s">
        <v>33</v>
      </c>
      <c r="C41" s="334">
        <v>11</v>
      </c>
      <c r="D41" s="334">
        <v>218923</v>
      </c>
      <c r="E41" s="334">
        <v>46</v>
      </c>
      <c r="F41" s="334">
        <v>460813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128773</v>
      </c>
      <c r="E44" s="334">
        <v>9</v>
      </c>
      <c r="F44" s="334">
        <v>171499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0</v>
      </c>
      <c r="E48" s="334">
        <v>0</v>
      </c>
      <c r="F48" s="334">
        <v>0</v>
      </c>
    </row>
    <row r="49" spans="1:6">
      <c r="A49" s="348" t="s">
        <v>32</v>
      </c>
      <c r="B49" s="348" t="s">
        <v>40</v>
      </c>
      <c r="C49" s="334">
        <v>0</v>
      </c>
      <c r="D49" s="334">
        <v>0</v>
      </c>
      <c r="E49" s="334">
        <v>0</v>
      </c>
      <c r="F49" s="334">
        <v>0</v>
      </c>
    </row>
    <row r="50" spans="1:6">
      <c r="A50" s="348" t="s">
        <v>32</v>
      </c>
      <c r="B50" s="348" t="s">
        <v>41</v>
      </c>
      <c r="C50" s="334">
        <v>0</v>
      </c>
      <c r="D50" s="334">
        <v>0</v>
      </c>
      <c r="E50" s="334">
        <v>5</v>
      </c>
      <c r="F50" s="334">
        <v>132281</v>
      </c>
    </row>
    <row r="51" spans="1:6">
      <c r="A51" s="348" t="s">
        <v>42</v>
      </c>
      <c r="B51" s="348" t="s">
        <v>43</v>
      </c>
      <c r="C51" s="334">
        <v>3</v>
      </c>
      <c r="D51" s="334">
        <v>37188</v>
      </c>
      <c r="E51" s="334">
        <v>66</v>
      </c>
      <c r="F51" s="334">
        <v>3770319</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40</v>
      </c>
      <c r="F54" s="334">
        <v>504844</v>
      </c>
    </row>
    <row r="55" spans="1:6">
      <c r="A55" s="348" t="s">
        <v>46</v>
      </c>
      <c r="B55" s="348" t="s">
        <v>29</v>
      </c>
      <c r="C55" s="334">
        <v>0</v>
      </c>
      <c r="D55" s="334">
        <v>0</v>
      </c>
      <c r="E55" s="334">
        <v>0</v>
      </c>
      <c r="F55" s="334">
        <v>0</v>
      </c>
    </row>
    <row r="56" spans="1:6">
      <c r="A56" s="348" t="s">
        <v>48</v>
      </c>
      <c r="B56" s="348" t="s">
        <v>29</v>
      </c>
      <c r="C56" s="334">
        <v>12</v>
      </c>
      <c r="D56" s="334">
        <v>286460</v>
      </c>
      <c r="E56" s="334">
        <v>36</v>
      </c>
      <c r="F56" s="334">
        <v>211628</v>
      </c>
    </row>
    <row r="57" spans="1:6">
      <c r="A57" s="348" t="s">
        <v>49</v>
      </c>
      <c r="B57" s="348" t="s">
        <v>50</v>
      </c>
      <c r="C57" s="334">
        <v>6</v>
      </c>
      <c r="D57" s="334">
        <v>155668</v>
      </c>
      <c r="E57" s="334">
        <v>33</v>
      </c>
      <c r="F57" s="334">
        <v>1047578</v>
      </c>
    </row>
    <row r="58" spans="1:6">
      <c r="A58" s="348" t="s">
        <v>49</v>
      </c>
      <c r="B58" s="348" t="s">
        <v>51</v>
      </c>
      <c r="C58" s="334">
        <v>4</v>
      </c>
      <c r="D58" s="334">
        <v>327797</v>
      </c>
      <c r="E58" s="334">
        <v>7</v>
      </c>
      <c r="F58" s="334">
        <v>540885</v>
      </c>
    </row>
    <row r="59" spans="1:6">
      <c r="A59" s="348" t="s">
        <v>49</v>
      </c>
      <c r="B59" s="348" t="s">
        <v>52</v>
      </c>
      <c r="C59" s="334">
        <v>9</v>
      </c>
      <c r="D59" s="334">
        <v>307236</v>
      </c>
      <c r="E59" s="334">
        <v>81</v>
      </c>
      <c r="F59" s="334">
        <v>2227036</v>
      </c>
    </row>
    <row r="60" spans="1:6">
      <c r="A60" s="348" t="s">
        <v>49</v>
      </c>
      <c r="B60" s="348" t="s">
        <v>53</v>
      </c>
      <c r="C60" s="334">
        <v>4</v>
      </c>
      <c r="D60" s="334">
        <v>232383</v>
      </c>
      <c r="E60" s="334">
        <v>15</v>
      </c>
      <c r="F60" s="334">
        <v>400756</v>
      </c>
    </row>
    <row r="61" spans="1:6">
      <c r="A61" s="348" t="s">
        <v>49</v>
      </c>
      <c r="B61" s="348" t="s">
        <v>54</v>
      </c>
      <c r="C61" s="334">
        <v>29</v>
      </c>
      <c r="D61" s="334">
        <v>1481921</v>
      </c>
      <c r="E61" s="334">
        <v>102</v>
      </c>
      <c r="F61" s="334">
        <v>1503671</v>
      </c>
    </row>
    <row r="62" spans="1:6">
      <c r="A62" s="348" t="s">
        <v>49</v>
      </c>
      <c r="B62" s="348" t="s">
        <v>55</v>
      </c>
      <c r="C62" s="334">
        <v>5</v>
      </c>
      <c r="D62" s="334">
        <v>366562</v>
      </c>
      <c r="E62" s="334">
        <v>7</v>
      </c>
      <c r="F62" s="334">
        <v>93145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9918</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11287</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9712169</v>
      </c>
      <c r="E73" s="477">
        <v>10613122.399375802</v>
      </c>
    </row>
    <row r="74" spans="1:6">
      <c r="A74" s="348" t="s">
        <v>64</v>
      </c>
      <c r="B74" s="348" t="s">
        <v>714</v>
      </c>
      <c r="C74" s="1288" t="s">
        <v>716</v>
      </c>
      <c r="D74" s="477">
        <v>979908.71235542127</v>
      </c>
      <c r="E74" s="477">
        <v>1053085.2374895564</v>
      </c>
    </row>
    <row r="75" spans="1:6">
      <c r="A75" s="348" t="s">
        <v>65</v>
      </c>
      <c r="B75" s="348" t="s">
        <v>713</v>
      </c>
      <c r="C75" s="1288" t="s">
        <v>717</v>
      </c>
      <c r="D75" s="477">
        <v>16147458</v>
      </c>
      <c r="E75" s="477">
        <v>17234062.341179967</v>
      </c>
    </row>
    <row r="76" spans="1:6">
      <c r="A76" s="348" t="s">
        <v>65</v>
      </c>
      <c r="B76" s="348" t="s">
        <v>714</v>
      </c>
      <c r="C76" s="1288" t="s">
        <v>718</v>
      </c>
      <c r="D76" s="477">
        <v>107525.71235542124</v>
      </c>
      <c r="E76" s="477">
        <v>127743.05088646547</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272978.57528915751</v>
      </c>
      <c r="C83" s="477">
        <v>268325.13900087075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2504.1267065292845</v>
      </c>
    </row>
    <row r="92" spans="1:6">
      <c r="A92" s="341" t="s">
        <v>69</v>
      </c>
      <c r="B92" s="342">
        <v>2364.5540687022226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137</v>
      </c>
    </row>
    <row r="98" spans="1:6">
      <c r="A98" s="348" t="s">
        <v>72</v>
      </c>
      <c r="B98" s="334">
        <v>1</v>
      </c>
    </row>
    <row r="99" spans="1:6">
      <c r="A99" s="348" t="s">
        <v>73</v>
      </c>
      <c r="B99" s="334">
        <v>20</v>
      </c>
    </row>
    <row r="100" spans="1:6">
      <c r="A100" s="348" t="s">
        <v>74</v>
      </c>
      <c r="B100" s="334">
        <v>81</v>
      </c>
    </row>
    <row r="101" spans="1:6">
      <c r="A101" s="348" t="s">
        <v>75</v>
      </c>
      <c r="B101" s="334">
        <v>22</v>
      </c>
    </row>
    <row r="102" spans="1:6">
      <c r="A102" s="348" t="s">
        <v>76</v>
      </c>
      <c r="B102" s="334">
        <v>32</v>
      </c>
    </row>
    <row r="103" spans="1:6">
      <c r="A103" s="348" t="s">
        <v>77</v>
      </c>
      <c r="B103" s="334">
        <v>55</v>
      </c>
    </row>
    <row r="104" spans="1:6">
      <c r="A104" s="348" t="s">
        <v>78</v>
      </c>
      <c r="B104" s="334">
        <v>2087</v>
      </c>
    </row>
    <row r="105" spans="1:6">
      <c r="A105" s="341" t="s">
        <v>79</v>
      </c>
      <c r="B105" s="341">
        <v>1</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10</v>
      </c>
      <c r="C123" s="334">
        <v>11</v>
      </c>
    </row>
    <row r="124" spans="1:6">
      <c r="A124" s="341" t="s">
        <v>89</v>
      </c>
      <c r="B124" s="334">
        <v>0</v>
      </c>
      <c r="C124" s="334">
        <v>2</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1</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23570.282859463849</v>
      </c>
      <c r="C3" s="43" t="s">
        <v>170</v>
      </c>
      <c r="D3" s="43"/>
      <c r="E3" s="154"/>
      <c r="F3" s="43"/>
      <c r="G3" s="43"/>
      <c r="H3" s="43"/>
      <c r="I3" s="43"/>
      <c r="J3" s="43"/>
      <c r="K3" s="96"/>
    </row>
    <row r="4" spans="1:11">
      <c r="A4" s="384" t="s">
        <v>171</v>
      </c>
      <c r="B4" s="49">
        <f>IF(ISERROR('SEAP template'!B69),0,'SEAP template'!B69)</f>
        <v>4868.6807752315071</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0.1753502104857371</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504.84399999999999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504.84399999999999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0.1753502104857371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88.524501662461461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10209.785</v>
      </c>
      <c r="C5" s="17">
        <f>IF(ISERROR('Eigen informatie GS &amp; warmtenet'!B57),0,'Eigen informatie GS &amp; warmtenet'!B57)</f>
        <v>0</v>
      </c>
      <c r="D5" s="30">
        <f>(SUM(HH_hh_gas_kWh,HH_rest_gas_kWh)/1000)*0.902</f>
        <v>12790.546714</v>
      </c>
      <c r="E5" s="17">
        <f>B46*B57</f>
        <v>1118.9158544793579</v>
      </c>
      <c r="F5" s="17">
        <f>B51*B62</f>
        <v>35467.43295705389</v>
      </c>
      <c r="G5" s="18"/>
      <c r="H5" s="17"/>
      <c r="I5" s="17"/>
      <c r="J5" s="17">
        <f>B50*B61+C50*C61</f>
        <v>0</v>
      </c>
      <c r="K5" s="17"/>
      <c r="L5" s="17"/>
      <c r="M5" s="17"/>
      <c r="N5" s="17">
        <f>B48*B59+C48*C59</f>
        <v>4667.542696453751</v>
      </c>
      <c r="O5" s="17">
        <f>B69*B70*B71</f>
        <v>110.99666666666667</v>
      </c>
      <c r="P5" s="17">
        <f>B77*B78*B79/1000-B77*B78*B79/1000/B80</f>
        <v>438.5333333333333</v>
      </c>
    </row>
    <row r="6" spans="1:16">
      <c r="A6" s="16" t="s">
        <v>631</v>
      </c>
      <c r="B6" s="844">
        <f>kWh_PV_kleiner_dan_10kW</f>
        <v>2504.1267065292845</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12713.911706529285</v>
      </c>
      <c r="C8" s="21">
        <f>C5</f>
        <v>0</v>
      </c>
      <c r="D8" s="21">
        <f>D5</f>
        <v>12790.546714</v>
      </c>
      <c r="E8" s="21">
        <f>E5</f>
        <v>1118.9158544793579</v>
      </c>
      <c r="F8" s="21">
        <f>F5</f>
        <v>35467.43295705389</v>
      </c>
      <c r="G8" s="21"/>
      <c r="H8" s="21"/>
      <c r="I8" s="21"/>
      <c r="J8" s="21">
        <f>J5</f>
        <v>0</v>
      </c>
      <c r="K8" s="21"/>
      <c r="L8" s="21">
        <f>L5</f>
        <v>0</v>
      </c>
      <c r="M8" s="21">
        <f>M5</f>
        <v>0</v>
      </c>
      <c r="N8" s="21">
        <f>N5</f>
        <v>4667.542696453751</v>
      </c>
      <c r="O8" s="21">
        <f>O5</f>
        <v>110.99666666666667</v>
      </c>
      <c r="P8" s="21">
        <f>P5</f>
        <v>438.5333333333333</v>
      </c>
    </row>
    <row r="9" spans="1:16">
      <c r="B9" s="19"/>
      <c r="C9" s="19"/>
      <c r="D9" s="258"/>
      <c r="E9" s="19"/>
      <c r="F9" s="19"/>
      <c r="G9" s="19"/>
      <c r="H9" s="19"/>
      <c r="I9" s="19"/>
      <c r="J9" s="19"/>
      <c r="K9" s="19"/>
      <c r="L9" s="19"/>
      <c r="M9" s="19"/>
      <c r="N9" s="19"/>
      <c r="O9" s="19"/>
      <c r="P9" s="19"/>
    </row>
    <row r="10" spans="1:16">
      <c r="A10" s="24" t="s">
        <v>214</v>
      </c>
      <c r="B10" s="25">
        <f ca="1">'EF ele_warmte'!B12</f>
        <v>0.1753502104857371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2229.3870938369869</v>
      </c>
      <c r="C12" s="23">
        <f ca="1">C10*C8</f>
        <v>0</v>
      </c>
      <c r="D12" s="23">
        <f>D8*D10</f>
        <v>2583.6904362280002</v>
      </c>
      <c r="E12" s="23">
        <f>E10*E8</f>
        <v>253.99389896681424</v>
      </c>
      <c r="F12" s="23">
        <f>F10*F8</f>
        <v>9469.8045995333887</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137</v>
      </c>
      <c r="C18" s="166" t="s">
        <v>111</v>
      </c>
      <c r="D18" s="228"/>
      <c r="E18" s="15"/>
    </row>
    <row r="19" spans="1:7">
      <c r="A19" s="171" t="s">
        <v>72</v>
      </c>
      <c r="B19" s="37">
        <f>aantalw2001_ander</f>
        <v>1</v>
      </c>
      <c r="C19" s="166" t="s">
        <v>111</v>
      </c>
      <c r="D19" s="229"/>
      <c r="E19" s="15"/>
    </row>
    <row r="20" spans="1:7">
      <c r="A20" s="171" t="s">
        <v>73</v>
      </c>
      <c r="B20" s="37">
        <f>aantalw2001_propaan</f>
        <v>20</v>
      </c>
      <c r="C20" s="167">
        <f>IF(ISERROR(B20/SUM($B$20,$B$21,$B$22)*100),0,B20/SUM($B$20,$B$21,$B$22)*100)</f>
        <v>16.260162601626014</v>
      </c>
      <c r="D20" s="229"/>
      <c r="E20" s="15"/>
    </row>
    <row r="21" spans="1:7">
      <c r="A21" s="171" t="s">
        <v>74</v>
      </c>
      <c r="B21" s="37">
        <f>aantalw2001_elektriciteit</f>
        <v>81</v>
      </c>
      <c r="C21" s="167">
        <f>IF(ISERROR(B21/SUM($B$20,$B$21,$B$22)*100),0,B21/SUM($B$20,$B$21,$B$22)*100)</f>
        <v>65.853658536585371</v>
      </c>
      <c r="D21" s="229"/>
      <c r="E21" s="15"/>
    </row>
    <row r="22" spans="1:7">
      <c r="A22" s="171" t="s">
        <v>75</v>
      </c>
      <c r="B22" s="37">
        <f>aantalw2001_hout</f>
        <v>22</v>
      </c>
      <c r="C22" s="167">
        <f>IF(ISERROR(B22/SUM($B$20,$B$21,$B$22)*100),0,B22/SUM($B$20,$B$21,$B$22)*100)</f>
        <v>17.886178861788618</v>
      </c>
      <c r="D22" s="229"/>
      <c r="E22" s="15"/>
    </row>
    <row r="23" spans="1:7">
      <c r="A23" s="171" t="s">
        <v>76</v>
      </c>
      <c r="B23" s="37">
        <f>aantalw2001_niet_gespec</f>
        <v>32</v>
      </c>
      <c r="C23" s="166" t="s">
        <v>111</v>
      </c>
      <c r="D23" s="228"/>
      <c r="E23" s="15"/>
    </row>
    <row r="24" spans="1:7">
      <c r="A24" s="171" t="s">
        <v>77</v>
      </c>
      <c r="B24" s="37">
        <f>aantalw2001_steenkool</f>
        <v>55</v>
      </c>
      <c r="C24" s="166" t="s">
        <v>111</v>
      </c>
      <c r="D24" s="229"/>
      <c r="E24" s="15"/>
    </row>
    <row r="25" spans="1:7">
      <c r="A25" s="171" t="s">
        <v>78</v>
      </c>
      <c r="B25" s="37">
        <f>aantalw2001_stookolie</f>
        <v>2087</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740</v>
      </c>
      <c r="B28" s="37">
        <f>aantalHuishoudens2011</f>
        <v>2780</v>
      </c>
      <c r="C28" s="36"/>
      <c r="D28" s="228"/>
    </row>
    <row r="29" spans="1:7" s="15" customFormat="1">
      <c r="A29" s="230" t="s">
        <v>741</v>
      </c>
      <c r="B29" s="37">
        <f>SUM(HH_hh_gas_aantal,HH_rest_gas_aantal)</f>
        <v>855</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855</v>
      </c>
      <c r="C32" s="167">
        <f>IF(ISERROR(B32/SUM($B$32,$B$34,$B$35,$B$36,$B$38,$B$39)*100),0,B32/SUM($B$32,$B$34,$B$35,$B$36,$B$38,$B$39)*100)</f>
        <v>31.01196953210011</v>
      </c>
      <c r="D32" s="233"/>
      <c r="G32" s="15"/>
    </row>
    <row r="33" spans="1:7">
      <c r="A33" s="171" t="s">
        <v>72</v>
      </c>
      <c r="B33" s="34" t="s">
        <v>111</v>
      </c>
      <c r="C33" s="167"/>
      <c r="D33" s="233"/>
      <c r="G33" s="15"/>
    </row>
    <row r="34" spans="1:7">
      <c r="A34" s="171" t="s">
        <v>73</v>
      </c>
      <c r="B34" s="33">
        <f>IF((($B$28-$B$32-$B$39-$B$77-$B$38)*C20/100)&lt;0,0,($B$28-$B$32-$B$39-$B$77-$B$38)*C20/100)</f>
        <v>74.99186991869918</v>
      </c>
      <c r="C34" s="167">
        <f>IF(ISERROR(B34/SUM($B$32,$B$34,$B$35,$B$36,$B$38,$B$39)*100),0,B34/SUM($B$32,$B$34,$B$35,$B$36,$B$38,$B$39)*100)</f>
        <v>2.7200533158759224</v>
      </c>
      <c r="D34" s="233"/>
      <c r="G34" s="15"/>
    </row>
    <row r="35" spans="1:7">
      <c r="A35" s="171" t="s">
        <v>74</v>
      </c>
      <c r="B35" s="33">
        <f>IF((($B$28-$B$32-$B$39-$B$77-$B$38)*C21/100)&lt;0,0,($B$28-$B$32-$B$39-$B$77-$B$38)*C21/100)</f>
        <v>303.71707317073174</v>
      </c>
      <c r="C35" s="167">
        <f>IF(ISERROR(B35/SUM($B$32,$B$34,$B$35,$B$36,$B$38,$B$39)*100),0,B35/SUM($B$32,$B$34,$B$35,$B$36,$B$38,$B$39)*100)</f>
        <v>11.016215929297488</v>
      </c>
      <c r="D35" s="233"/>
      <c r="G35" s="15"/>
    </row>
    <row r="36" spans="1:7">
      <c r="A36" s="171" t="s">
        <v>75</v>
      </c>
      <c r="B36" s="33">
        <f>IF((($B$28-$B$32-$B$39-$B$77-$B$38)*C22/100)&lt;0,0,($B$28-$B$32-$B$39-$B$77-$B$38)*C22/100)</f>
        <v>82.491056910569114</v>
      </c>
      <c r="C36" s="167">
        <f>IF(ISERROR(B36/SUM($B$32,$B$34,$B$35,$B$36,$B$38,$B$39)*100),0,B36/SUM($B$32,$B$34,$B$35,$B$36,$B$38,$B$39)*100)</f>
        <v>2.9920586474635154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1440.8</v>
      </c>
      <c r="C39" s="167">
        <f>IF(ISERROR(B39/SUM($B$32,$B$34,$B$35,$B$36,$B$38,$B$39)*100),0,B39/SUM($B$32,$B$34,$B$35,$B$36,$B$38,$B$39)*100)</f>
        <v>52.25970257526297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855</v>
      </c>
      <c r="C44" s="34" t="s">
        <v>111</v>
      </c>
      <c r="D44" s="174"/>
    </row>
    <row r="45" spans="1:7">
      <c r="A45" s="171" t="s">
        <v>72</v>
      </c>
      <c r="B45" s="33" t="str">
        <f t="shared" si="0"/>
        <v>-</v>
      </c>
      <c r="C45" s="34" t="s">
        <v>111</v>
      </c>
      <c r="D45" s="174"/>
    </row>
    <row r="46" spans="1:7">
      <c r="A46" s="171" t="s">
        <v>73</v>
      </c>
      <c r="B46" s="33">
        <f t="shared" si="0"/>
        <v>74.99186991869918</v>
      </c>
      <c r="C46" s="34" t="s">
        <v>111</v>
      </c>
      <c r="D46" s="174"/>
    </row>
    <row r="47" spans="1:7">
      <c r="A47" s="171" t="s">
        <v>74</v>
      </c>
      <c r="B47" s="33">
        <f t="shared" si="0"/>
        <v>303.71707317073174</v>
      </c>
      <c r="C47" s="34" t="s">
        <v>111</v>
      </c>
      <c r="D47" s="174"/>
    </row>
    <row r="48" spans="1:7">
      <c r="A48" s="171" t="s">
        <v>75</v>
      </c>
      <c r="B48" s="33">
        <f t="shared" si="0"/>
        <v>82.491056910569114</v>
      </c>
      <c r="C48" s="33">
        <f>B48*10</f>
        <v>824.91056910569114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1440.8</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23</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5813.0709999999999</v>
      </c>
      <c r="C5" s="17">
        <f>IF(ISERROR('Eigen informatie GS &amp; warmtenet'!B58),0,'Eigen informatie GS &amp; warmtenet'!B58)</f>
        <v>0</v>
      </c>
      <c r="D5" s="30">
        <f>SUM(D6:D12)</f>
        <v>2590.1534339999998</v>
      </c>
      <c r="E5" s="17">
        <f>SUM(E6:E12)</f>
        <v>49.184265398115201</v>
      </c>
      <c r="F5" s="17">
        <f>SUM(F6:F12)</f>
        <v>868.72267452744393</v>
      </c>
      <c r="G5" s="18"/>
      <c r="H5" s="17"/>
      <c r="I5" s="17"/>
      <c r="J5" s="17">
        <f>SUM(J6:J12)</f>
        <v>0</v>
      </c>
      <c r="K5" s="17"/>
      <c r="L5" s="17"/>
      <c r="M5" s="17"/>
      <c r="N5" s="17">
        <f>SUM(N6:N12)</f>
        <v>775.60125735836368</v>
      </c>
      <c r="O5" s="17">
        <f>B38*B39*B40</f>
        <v>1.5633333333333335</v>
      </c>
      <c r="P5" s="17">
        <f>B46*B47*B48/1000-B46*B47*B48/1000/B49</f>
        <v>0</v>
      </c>
      <c r="R5" s="32"/>
    </row>
    <row r="6" spans="1:18">
      <c r="A6" s="32" t="s">
        <v>54</v>
      </c>
      <c r="B6" s="37">
        <f>B26</f>
        <v>1503.671</v>
      </c>
      <c r="C6" s="33"/>
      <c r="D6" s="37">
        <f>IF(ISERROR(TER_kantoor_gas_kWh/1000),0,TER_kantoor_gas_kWh/1000)*0.902</f>
        <v>1336.6927420000002</v>
      </c>
      <c r="E6" s="33">
        <f>$C$26*'E Balans VL '!I12/100/3.6*1000000</f>
        <v>4.3563555068179571</v>
      </c>
      <c r="F6" s="33">
        <f>$C$26*('E Balans VL '!L12+'E Balans VL '!N12)/100/3.6*1000000</f>
        <v>170.1824287593443</v>
      </c>
      <c r="G6" s="34"/>
      <c r="H6" s="33"/>
      <c r="I6" s="33"/>
      <c r="J6" s="33">
        <f>$C$26*('E Balans VL '!D12+'E Balans VL '!E12)/100/3.6*1000000</f>
        <v>0</v>
      </c>
      <c r="K6" s="33"/>
      <c r="L6" s="33"/>
      <c r="M6" s="33"/>
      <c r="N6" s="33">
        <f>$C$26*'E Balans VL '!Y12/100/3.6*1000000</f>
        <v>15.050638755738406</v>
      </c>
      <c r="O6" s="33"/>
      <c r="P6" s="33"/>
      <c r="R6" s="32"/>
    </row>
    <row r="7" spans="1:18">
      <c r="A7" s="32" t="s">
        <v>53</v>
      </c>
      <c r="B7" s="37">
        <f t="shared" ref="B7:B12" si="0">B27</f>
        <v>400.75599999999997</v>
      </c>
      <c r="C7" s="33"/>
      <c r="D7" s="37">
        <f>IF(ISERROR(TER_horeca_gas_kWh/1000),0,TER_horeca_gas_kWh/1000)*0.902</f>
        <v>209.60946600000003</v>
      </c>
      <c r="E7" s="33">
        <f>$C$27*'E Balans VL '!I9/100/3.6*1000000</f>
        <v>16.822617189865369</v>
      </c>
      <c r="F7" s="33">
        <f>$C$27*('E Balans VL '!L9+'E Balans VL '!N9)/100/3.6*1000000</f>
        <v>86.110644875801427</v>
      </c>
      <c r="G7" s="34"/>
      <c r="H7" s="33"/>
      <c r="I7" s="33"/>
      <c r="J7" s="33">
        <f>$C$27*('E Balans VL '!D9+'E Balans VL '!E9)/100/3.6*1000000</f>
        <v>0</v>
      </c>
      <c r="K7" s="33"/>
      <c r="L7" s="33"/>
      <c r="M7" s="33"/>
      <c r="N7" s="33">
        <f>$C$27*'E Balans VL '!Y9/100/3.6*1000000</f>
        <v>0.10327131646163752</v>
      </c>
      <c r="O7" s="33"/>
      <c r="P7" s="33"/>
      <c r="R7" s="32"/>
    </row>
    <row r="8" spans="1:18">
      <c r="A8" s="6" t="s">
        <v>52</v>
      </c>
      <c r="B8" s="37">
        <f t="shared" si="0"/>
        <v>2227.0360000000001</v>
      </c>
      <c r="C8" s="33"/>
      <c r="D8" s="37">
        <f>IF(ISERROR(TER_handel_gas_kWh/1000),0,TER_handel_gas_kWh/1000)*0.902</f>
        <v>277.12687199999999</v>
      </c>
      <c r="E8" s="33">
        <f>$C$28*'E Balans VL '!I13/100/3.6*1000000</f>
        <v>23.920220149373851</v>
      </c>
      <c r="F8" s="33">
        <f>$C$28*('E Balans VL '!L13+'E Balans VL '!N13)/100/3.6*1000000</f>
        <v>288.30820068417194</v>
      </c>
      <c r="G8" s="34"/>
      <c r="H8" s="33"/>
      <c r="I8" s="33"/>
      <c r="J8" s="33">
        <f>$C$28*('E Balans VL '!D13+'E Balans VL '!E13)/100/3.6*1000000</f>
        <v>0</v>
      </c>
      <c r="K8" s="33"/>
      <c r="L8" s="33"/>
      <c r="M8" s="33"/>
      <c r="N8" s="33">
        <f>$C$28*'E Balans VL '!Y13/100/3.6*1000000</f>
        <v>18.065837633452773</v>
      </c>
      <c r="O8" s="33"/>
      <c r="P8" s="33"/>
      <c r="R8" s="32"/>
    </row>
    <row r="9" spans="1:18">
      <c r="A9" s="32" t="s">
        <v>51</v>
      </c>
      <c r="B9" s="37">
        <f t="shared" si="0"/>
        <v>540.88499999999999</v>
      </c>
      <c r="C9" s="33"/>
      <c r="D9" s="37">
        <f>IF(ISERROR(TER_gezond_gas_kWh/1000),0,TER_gezond_gas_kWh/1000)*0.902</f>
        <v>295.67289400000004</v>
      </c>
      <c r="E9" s="33">
        <f>$C$29*'E Balans VL '!I10/100/3.6*1000000</f>
        <v>0.43057944350456412</v>
      </c>
      <c r="F9" s="33">
        <f>$C$29*('E Balans VL '!L10+'E Balans VL '!N10)/100/3.6*1000000</f>
        <v>65.75238824228461</v>
      </c>
      <c r="G9" s="34"/>
      <c r="H9" s="33"/>
      <c r="I9" s="33"/>
      <c r="J9" s="33">
        <f>$C$29*('E Balans VL '!D10+'E Balans VL '!E10)/100/3.6*1000000</f>
        <v>0</v>
      </c>
      <c r="K9" s="33"/>
      <c r="L9" s="33"/>
      <c r="M9" s="33"/>
      <c r="N9" s="33">
        <f>$C$29*'E Balans VL '!Y10/100/3.6*1000000</f>
        <v>4.3691257319344627</v>
      </c>
      <c r="O9" s="33"/>
      <c r="P9" s="33"/>
      <c r="R9" s="32"/>
    </row>
    <row r="10" spans="1:18">
      <c r="A10" s="32" t="s">
        <v>50</v>
      </c>
      <c r="B10" s="37">
        <f t="shared" si="0"/>
        <v>1047.578</v>
      </c>
      <c r="C10" s="33"/>
      <c r="D10" s="37">
        <f>IF(ISERROR(TER_ander_gas_kWh/1000),0,TER_ander_gas_kWh/1000)*0.902</f>
        <v>140.41253600000002</v>
      </c>
      <c r="E10" s="33">
        <f>$C$30*'E Balans VL '!I14/100/3.6*1000000</f>
        <v>3.5901048386937009</v>
      </c>
      <c r="F10" s="33">
        <f>$C$30*('E Balans VL '!L14+'E Balans VL '!N14)/100/3.6*1000000</f>
        <v>233.98635664450691</v>
      </c>
      <c r="G10" s="34"/>
      <c r="H10" s="33"/>
      <c r="I10" s="33"/>
      <c r="J10" s="33">
        <f>$C$30*('E Balans VL '!D14+'E Balans VL '!E14)/100/3.6*1000000</f>
        <v>0</v>
      </c>
      <c r="K10" s="33"/>
      <c r="L10" s="33"/>
      <c r="M10" s="33"/>
      <c r="N10" s="33">
        <f>$C$30*'E Balans VL '!Y14/100/3.6*1000000</f>
        <v>737.91966600674868</v>
      </c>
      <c r="O10" s="33"/>
      <c r="P10" s="33"/>
      <c r="R10" s="32"/>
    </row>
    <row r="11" spans="1:18">
      <c r="A11" s="32" t="s">
        <v>55</v>
      </c>
      <c r="B11" s="37">
        <f t="shared" si="0"/>
        <v>93.144999999999996</v>
      </c>
      <c r="C11" s="33"/>
      <c r="D11" s="37">
        <f>IF(ISERROR(TER_onderwijs_gas_kWh/1000),0,TER_onderwijs_gas_kWh/1000)*0.902</f>
        <v>330.63892400000003</v>
      </c>
      <c r="E11" s="33">
        <f>$C$31*'E Balans VL '!I11/100/3.6*1000000</f>
        <v>6.4388269859765548E-2</v>
      </c>
      <c r="F11" s="33">
        <f>$C$31*('E Balans VL '!L11+'E Balans VL '!N11)/100/3.6*1000000</f>
        <v>24.382655321334706</v>
      </c>
      <c r="G11" s="34"/>
      <c r="H11" s="33"/>
      <c r="I11" s="33"/>
      <c r="J11" s="33">
        <f>$C$31*('E Balans VL '!D11+'E Balans VL '!E11)/100/3.6*1000000</f>
        <v>0</v>
      </c>
      <c r="K11" s="33"/>
      <c r="L11" s="33"/>
      <c r="M11" s="33"/>
      <c r="N11" s="33">
        <f>$C$31*'E Balans VL '!Y11/100/3.6*1000000</f>
        <v>9.2717914027776363E-2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5813.0709999999999</v>
      </c>
      <c r="C16" s="21">
        <f t="shared" ca="1" si="1"/>
        <v>0</v>
      </c>
      <c r="D16" s="21">
        <f t="shared" ca="1" si="1"/>
        <v>2590.1534339999998</v>
      </c>
      <c r="E16" s="21">
        <f t="shared" si="1"/>
        <v>49.184265398115201</v>
      </c>
      <c r="F16" s="21">
        <f t="shared" ca="1" si="1"/>
        <v>868.72267452744393</v>
      </c>
      <c r="G16" s="21">
        <f t="shared" si="1"/>
        <v>0</v>
      </c>
      <c r="H16" s="21">
        <f t="shared" si="1"/>
        <v>0</v>
      </c>
      <c r="I16" s="21">
        <f t="shared" si="1"/>
        <v>0</v>
      </c>
      <c r="J16" s="21">
        <f t="shared" si="1"/>
        <v>0</v>
      </c>
      <c r="K16" s="21">
        <f t="shared" si="1"/>
        <v>0</v>
      </c>
      <c r="L16" s="21">
        <f t="shared" ca="1" si="1"/>
        <v>0</v>
      </c>
      <c r="M16" s="21">
        <f t="shared" si="1"/>
        <v>0</v>
      </c>
      <c r="N16" s="21">
        <f t="shared" ca="1" si="1"/>
        <v>775.60125735836368</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0.1753502104857371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1019.3232234185342</v>
      </c>
      <c r="C20" s="23">
        <f t="shared" ref="C20:P20" ca="1" si="2">C16*C18</f>
        <v>0</v>
      </c>
      <c r="D20" s="23">
        <f t="shared" ca="1" si="2"/>
        <v>523.21099366800001</v>
      </c>
      <c r="E20" s="23">
        <f t="shared" si="2"/>
        <v>11.164828245372151</v>
      </c>
      <c r="F20" s="23">
        <f t="shared" ca="1" si="2"/>
        <v>231.94895409882753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1503.671</v>
      </c>
      <c r="C26" s="39">
        <f>IF(ISERROR(B26*3.6/1000000/'E Balans VL '!Z12*100),0,B26*3.6/1000000/'E Balans VL '!Z12*100)</f>
        <v>3.3029871932756361E-2</v>
      </c>
      <c r="D26" s="237" t="s">
        <v>692</v>
      </c>
      <c r="F26" s="6"/>
    </row>
    <row r="27" spans="1:18">
      <c r="A27" s="231" t="s">
        <v>53</v>
      </c>
      <c r="B27" s="33">
        <f>IF(ISERROR(TER_horeca_ele_kWh/1000),0,TER_horeca_ele_kWh/1000)</f>
        <v>400.75599999999997</v>
      </c>
      <c r="C27" s="39">
        <f>IF(ISERROR(B27*3.6/1000000/'E Balans VL '!Z9*100),0,B27*3.6/1000000/'E Balans VL '!Z9*100)</f>
        <v>3.2204739382990698E-2</v>
      </c>
      <c r="D27" s="237" t="s">
        <v>692</v>
      </c>
      <c r="F27" s="6"/>
    </row>
    <row r="28" spans="1:18">
      <c r="A28" s="171" t="s">
        <v>52</v>
      </c>
      <c r="B28" s="33">
        <f>IF(ISERROR(TER_handel_ele_kWh/1000),0,TER_handel_ele_kWh/1000)</f>
        <v>2227.0360000000001</v>
      </c>
      <c r="C28" s="39">
        <f>IF(ISERROR(B28*3.6/1000000/'E Balans VL '!Z13*100),0,B28*3.6/1000000/'E Balans VL '!Z13*100)</f>
        <v>6.585189867998309E-2</v>
      </c>
      <c r="D28" s="237" t="s">
        <v>692</v>
      </c>
      <c r="F28" s="6"/>
    </row>
    <row r="29" spans="1:18">
      <c r="A29" s="231" t="s">
        <v>51</v>
      </c>
      <c r="B29" s="33">
        <f>IF(ISERROR(TER_gezond_ele_kWh/1000),0,TER_gezond_ele_kWh/1000)</f>
        <v>540.88499999999999</v>
      </c>
      <c r="C29" s="39">
        <f>IF(ISERROR(B29*3.6/1000000/'E Balans VL '!Z10*100),0,B29*3.6/1000000/'E Balans VL '!Z10*100)</f>
        <v>6.0943775080266702E-2</v>
      </c>
      <c r="D29" s="237" t="s">
        <v>692</v>
      </c>
      <c r="F29" s="6"/>
    </row>
    <row r="30" spans="1:18">
      <c r="A30" s="231" t="s">
        <v>50</v>
      </c>
      <c r="B30" s="33">
        <f>IF(ISERROR(TER_ander_ele_kWh/1000),0,TER_ander_ele_kWh/1000)</f>
        <v>1047.578</v>
      </c>
      <c r="C30" s="39">
        <f>IF(ISERROR(B30*3.6/1000000/'E Balans VL '!Z14*100),0,B30*3.6/1000000/'E Balans VL '!Z14*100)</f>
        <v>7.9226533386297454E-2</v>
      </c>
      <c r="D30" s="237" t="s">
        <v>692</v>
      </c>
      <c r="F30" s="6"/>
    </row>
    <row r="31" spans="1:18">
      <c r="A31" s="231" t="s">
        <v>55</v>
      </c>
      <c r="B31" s="33">
        <f>IF(ISERROR(TER_onderwijs_ele_kWh/1000),0,TER_onderwijs_ele_kWh/1000)</f>
        <v>93.144999999999996</v>
      </c>
      <c r="C31" s="39">
        <f>IF(ISERROR(B31*3.6/1000000/'E Balans VL '!Z11*100),0,B31*3.6/1000000/'E Balans VL '!Z11*100)</f>
        <v>1.9334739731652097E-2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0</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764.59300000000007</v>
      </c>
      <c r="C5" s="17">
        <f>IF(ISERROR('Eigen informatie GS &amp; warmtenet'!B59),0,'Eigen informatie GS &amp; warmtenet'!B59)</f>
        <v>0</v>
      </c>
      <c r="D5" s="30">
        <f>SUM(D6:D15)</f>
        <v>313.62179200000003</v>
      </c>
      <c r="E5" s="17">
        <f>SUM(E6:E15)</f>
        <v>132.34522638652692</v>
      </c>
      <c r="F5" s="17">
        <f>SUM(F6:F15)</f>
        <v>666.8274525613856</v>
      </c>
      <c r="G5" s="18"/>
      <c r="H5" s="17"/>
      <c r="I5" s="17"/>
      <c r="J5" s="17">
        <f>SUM(J6:J15)</f>
        <v>3.1659171553915719</v>
      </c>
      <c r="K5" s="17"/>
      <c r="L5" s="17"/>
      <c r="M5" s="17"/>
      <c r="N5" s="17">
        <f>SUM(N6:N15)</f>
        <v>223.2131553892952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171.499</v>
      </c>
      <c r="C8" s="33"/>
      <c r="D8" s="37">
        <f>IF( ISERROR(IND_metaal_Gas_kWH/1000),0,IND_metaal_Gas_kWH/1000)*0.902</f>
        <v>116.153246</v>
      </c>
      <c r="E8" s="33">
        <f>C30*'E Balans VL '!I18/100/3.6*1000000</f>
        <v>4.2920197363591663</v>
      </c>
      <c r="F8" s="33">
        <f>C30*'E Balans VL '!L18/100/3.6*1000000+C30*'E Balans VL '!N18/100/3.6*1000000</f>
        <v>53.748639679898162</v>
      </c>
      <c r="G8" s="34"/>
      <c r="H8" s="33"/>
      <c r="I8" s="33"/>
      <c r="J8" s="40">
        <f>C30*'E Balans VL '!D18/100/3.6*1000000+C30*'E Balans VL '!E18/100/3.6*1000000</f>
        <v>0</v>
      </c>
      <c r="K8" s="33"/>
      <c r="L8" s="33"/>
      <c r="M8" s="33"/>
      <c r="N8" s="33">
        <f>C30*'E Balans VL '!Y18/100/3.6*1000000</f>
        <v>4.3084999587161636</v>
      </c>
      <c r="O8" s="33"/>
      <c r="P8" s="33"/>
      <c r="R8" s="32"/>
    </row>
    <row r="9" spans="1:18">
      <c r="A9" s="6" t="s">
        <v>33</v>
      </c>
      <c r="B9" s="37">
        <f t="shared" si="0"/>
        <v>460.81299999999999</v>
      </c>
      <c r="C9" s="33"/>
      <c r="D9" s="37">
        <f>IF( ISERROR(IND_andere_gas_kWh/1000),0,IND_andere_gas_kWh/1000)*0.902</f>
        <v>197.468546</v>
      </c>
      <c r="E9" s="33">
        <f>C31*'E Balans VL '!I19/100/3.6*1000000</f>
        <v>126.70467472918645</v>
      </c>
      <c r="F9" s="33">
        <f>C31*'E Balans VL '!L19/100/3.6*1000000+C31*'E Balans VL '!N19/100/3.6*1000000</f>
        <v>363.20083121927871</v>
      </c>
      <c r="G9" s="34"/>
      <c r="H9" s="33"/>
      <c r="I9" s="33"/>
      <c r="J9" s="40">
        <f>C31*'E Balans VL '!D19/100/3.6*1000000+C31*'E Balans VL '!E19/100/3.6*1000000</f>
        <v>0</v>
      </c>
      <c r="K9" s="33"/>
      <c r="L9" s="33"/>
      <c r="M9" s="33"/>
      <c r="N9" s="33">
        <f>C31*'E Balans VL '!Y19/100/3.6*1000000</f>
        <v>149.17733152778237</v>
      </c>
      <c r="O9" s="33"/>
      <c r="P9" s="33"/>
      <c r="R9" s="32"/>
    </row>
    <row r="10" spans="1:18">
      <c r="A10" s="6" t="s">
        <v>41</v>
      </c>
      <c r="B10" s="37">
        <f t="shared" si="0"/>
        <v>132.28100000000001</v>
      </c>
      <c r="C10" s="33"/>
      <c r="D10" s="37">
        <f>IF( ISERROR(IND_voed_gas_kWh/1000),0,IND_voed_gas_kWh/1000)*0.902</f>
        <v>0</v>
      </c>
      <c r="E10" s="33">
        <f>C32*'E Balans VL '!I20/100/3.6*1000000</f>
        <v>1.3485319209812789</v>
      </c>
      <c r="F10" s="33">
        <f>C32*'E Balans VL '!L20/100/3.6*1000000+C32*'E Balans VL '!N20/100/3.6*1000000</f>
        <v>249.8779816622087</v>
      </c>
      <c r="G10" s="34"/>
      <c r="H10" s="33"/>
      <c r="I10" s="33"/>
      <c r="J10" s="40">
        <f>C32*'E Balans VL '!D20/100/3.6*1000000+C32*'E Balans VL '!E20/100/3.6*1000000</f>
        <v>3.1659171553915719</v>
      </c>
      <c r="K10" s="33"/>
      <c r="L10" s="33"/>
      <c r="M10" s="33"/>
      <c r="N10" s="33">
        <f>C32*'E Balans VL '!Y20/100/3.6*1000000</f>
        <v>69.727323902796641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0</v>
      </c>
      <c r="C15" s="33"/>
      <c r="D15" s="37">
        <f>IF( ISERROR(IND_rest_gas_kWh/1000),0,IND_rest_gas_kWh/1000)*0.902</f>
        <v>0</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764.59300000000007</v>
      </c>
      <c r="C18" s="21">
        <f>C5+C16</f>
        <v>0</v>
      </c>
      <c r="D18" s="21">
        <f>MAX((D5+D16),0)</f>
        <v>313.62179200000003</v>
      </c>
      <c r="E18" s="21">
        <f>MAX((E5+E16),0)</f>
        <v>132.34522638652692</v>
      </c>
      <c r="F18" s="21">
        <f>MAX((F5+F16),0)</f>
        <v>666.8274525613856</v>
      </c>
      <c r="G18" s="21"/>
      <c r="H18" s="21"/>
      <c r="I18" s="21"/>
      <c r="J18" s="21">
        <f>MAX((J5+J16),0)</f>
        <v>3.1659171553915719</v>
      </c>
      <c r="K18" s="21"/>
      <c r="L18" s="21">
        <f>MAX((L5+L16),0)</f>
        <v>0</v>
      </c>
      <c r="M18" s="21"/>
      <c r="N18" s="21">
        <f>MAX((N5+N16),0)</f>
        <v>223.2131553892952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0.1753502104857371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134.07154348592118</v>
      </c>
      <c r="C22" s="23">
        <f ca="1">C18*C20</f>
        <v>0</v>
      </c>
      <c r="D22" s="23">
        <f>D18*D20</f>
        <v>63.351601984000013</v>
      </c>
      <c r="E22" s="23">
        <f>E18*E20</f>
        <v>30.042366389741613</v>
      </c>
      <c r="F22" s="23">
        <f>F18*F20</f>
        <v>178.04292983388996</v>
      </c>
      <c r="G22" s="23"/>
      <c r="H22" s="23"/>
      <c r="I22" s="23"/>
      <c r="J22" s="23">
        <f>J18*J20</f>
        <v>1.1207346730086165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171.499</v>
      </c>
      <c r="C30" s="39">
        <f>IF(ISERROR(B30*3.6/1000000/'E Balans VL '!Z18*100),0,B30*3.6/1000000/'E Balans VL '!Z18*100)</f>
        <v>2.4004144732686698E-2</v>
      </c>
      <c r="D30" s="237" t="s">
        <v>692</v>
      </c>
    </row>
    <row r="31" spans="1:18">
      <c r="A31" s="6" t="s">
        <v>33</v>
      </c>
      <c r="B31" s="37">
        <f>IF( ISERROR(IND_ander_ele_kWh/1000),0,IND_ander_ele_kWh/1000)</f>
        <v>460.81299999999999</v>
      </c>
      <c r="C31" s="39">
        <f>IF(ISERROR(B31*3.6/1000000/'E Balans VL '!Z19*100),0,B31*3.6/1000000/'E Balans VL '!Z19*100)</f>
        <v>2.0169710255510703E-2</v>
      </c>
      <c r="D31" s="237" t="s">
        <v>692</v>
      </c>
    </row>
    <row r="32" spans="1:18">
      <c r="A32" s="171" t="s">
        <v>41</v>
      </c>
      <c r="B32" s="37">
        <f>IF( ISERROR(IND_voed_ele_kWh/1000),0,IND_voed_ele_kWh/1000)</f>
        <v>132.28100000000001</v>
      </c>
      <c r="C32" s="39">
        <f>IF(ISERROR(B32*3.6/1000000/'E Balans VL '!Z20*100),0,B32*3.6/1000000/'E Balans VL '!Z20*100)</f>
        <v>3.274838276466871E-2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0</v>
      </c>
      <c r="C37" s="39">
        <f>IF(ISERROR(B37*3.6/1000000/'E Balans VL '!Z15*100),0,B37*3.6/1000000/'E Balans VL '!Z15*100)</f>
        <v>0</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3770.319</v>
      </c>
      <c r="C5" s="17">
        <f>'Eigen informatie GS &amp; warmtenet'!B60</f>
        <v>0</v>
      </c>
      <c r="D5" s="30">
        <f>IF(ISERROR(SUM(LB_lb_gas_kWh,LB_rest_gas_kWh,onbekend_gas_kWh)/1000),0,SUM(LB_lb_gas_kWh,LB_rest_gas_kWh,onbekend_gas_kWh)/1000)*0.902</f>
        <v>33.543576000000002</v>
      </c>
      <c r="E5" s="17">
        <f>B17*'E Balans VL '!I25/3.6*1000000/100</f>
        <v>34.922273732756139</v>
      </c>
      <c r="F5" s="17">
        <f>B17*('E Balans VL '!L25/3.6*1000000+'E Balans VL '!N25/3.6*1000000)/100</f>
        <v>9566.0175480324233</v>
      </c>
      <c r="G5" s="18"/>
      <c r="H5" s="17"/>
      <c r="I5" s="17"/>
      <c r="J5" s="17">
        <f>('E Balans VL '!D25+'E Balans VL '!E25)/3.6*1000000*landbouw!B17/100</f>
        <v>578.03197958284545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3770.319</v>
      </c>
      <c r="C8" s="21">
        <f>C5+C6</f>
        <v>0</v>
      </c>
      <c r="D8" s="21">
        <f>MAX((D5+D6),0)</f>
        <v>33.543576000000002</v>
      </c>
      <c r="E8" s="21">
        <f>MAX((E5+E6),0)</f>
        <v>34.922273732756139</v>
      </c>
      <c r="F8" s="21">
        <f>MAX((F5+F6),0)</f>
        <v>9566.0175480324233</v>
      </c>
      <c r="G8" s="21"/>
      <c r="H8" s="21"/>
      <c r="I8" s="21"/>
      <c r="J8" s="21">
        <f>MAX((J5+J6),0)</f>
        <v>578.03197958284545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0.1753502104857371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661.12623024837376</v>
      </c>
      <c r="C12" s="23">
        <f ca="1">C8*C10</f>
        <v>0</v>
      </c>
      <c r="D12" s="23">
        <f>D8*D10</f>
        <v>6.7758023520000004</v>
      </c>
      <c r="E12" s="23">
        <f>E8*E10</f>
        <v>7.9273561373356438</v>
      </c>
      <c r="F12" s="23">
        <f>F8*F10</f>
        <v>2554.126685324657</v>
      </c>
      <c r="G12" s="23"/>
      <c r="H12" s="23"/>
      <c r="I12" s="23"/>
      <c r="J12" s="23">
        <f>J8*J10</f>
        <v>204.62332077232728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0.53605941721885353</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68.324579176395389</v>
      </c>
      <c r="C26" s="247">
        <f>B26*'GWP N2O_CH4'!B5</f>
        <v>1434.8161627043032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25.9893643566793</v>
      </c>
      <c r="C27" s="247">
        <f>B27*'GWP N2O_CH4'!B5</f>
        <v>545.77665149026529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1.1135250428719741</v>
      </c>
      <c r="C28" s="247">
        <f>B28*'GWP N2O_CH4'!B4</f>
        <v>345.19276329031197</v>
      </c>
      <c r="D28" s="50"/>
    </row>
    <row r="29" spans="1:4">
      <c r="A29" s="41" t="s">
        <v>277</v>
      </c>
      <c r="B29" s="247">
        <f>B34*'ha_N2O bodem landbouw'!B4</f>
        <v>8.605723291866191</v>
      </c>
      <c r="C29" s="247">
        <f>B29*'GWP N2O_CH4'!B4</f>
        <v>2667.7742204785191</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1.9301121246674269E-3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1.2758950564429025E-5</v>
      </c>
      <c r="C5" s="464" t="s">
        <v>211</v>
      </c>
      <c r="D5" s="449">
        <f>SUM(D6:D11)</f>
        <v>4.367909193927029E-5</v>
      </c>
      <c r="E5" s="449">
        <f>SUM(E6:E11)</f>
        <v>2.6804745462250727E-4</v>
      </c>
      <c r="F5" s="462" t="s">
        <v>211</v>
      </c>
      <c r="G5" s="449">
        <f>SUM(G6:G11)</f>
        <v>6.3453044402491429E-2</v>
      </c>
      <c r="H5" s="449">
        <f>SUM(H6:H11)</f>
        <v>1.624721760801626E-2</v>
      </c>
      <c r="I5" s="464" t="s">
        <v>211</v>
      </c>
      <c r="J5" s="464" t="s">
        <v>211</v>
      </c>
      <c r="K5" s="464" t="s">
        <v>211</v>
      </c>
      <c r="L5" s="464" t="s">
        <v>211</v>
      </c>
      <c r="M5" s="449">
        <f>SUM(M6:M11)</f>
        <v>4.1706264215526099E-3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4.791913052124846E-6</v>
      </c>
      <c r="C6" s="450"/>
      <c r="D6" s="963">
        <f>vkm_2011_GW_PW*SUMIFS(TableVerdeelsleutelVkm[CNG],TableVerdeelsleutelVkm[Voertuigtype],"Lichte voertuigen")*SUMIFS(TableECFTransport[EnergieConsumptieFactor (PJ per km)],TableECFTransport[Index],CONCATENATE($A6,"_CNG_CNG"))</f>
        <v>1.1084222457337476E-5</v>
      </c>
      <c r="E6" s="963">
        <f>vkm_2011_GW_PW*SUMIFS(TableVerdeelsleutelVkm[LPG],TableVerdeelsleutelVkm[Voertuigtype],"Lichte voertuigen")*SUMIFS(TableECFTransport[EnergieConsumptieFactor (PJ per km)],TableECFTransport[Index],CONCATENATE($A6,"_LPG_LPG"))</f>
        <v>7.2173763067731291E-5</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1.4993565316341459E-2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4.2263762113918723E-3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9.9741533042321524E-4</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9.1414159721464622E-3</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3.1261982466266384E-6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5.2888272988587781E-4</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7.9670375123041778E-6</v>
      </c>
      <c r="C8" s="450"/>
      <c r="D8" s="452">
        <f>vkm_2011_NGW_PW*SUMIFS(TableVerdeelsleutelVkm[CNG],TableVerdeelsleutelVkm[Voertuigtype],"Lichte voertuigen")*SUMIFS(TableECFTransport[EnergieConsumptieFactor (PJ per km)],TableECFTransport[Index],CONCATENATE($A8,"_CNG_CNG"))</f>
        <v>3.2594869481932816E-5</v>
      </c>
      <c r="E8" s="452">
        <f>vkm_2011_NGW_PW*SUMIFS(TableVerdeelsleutelVkm[LPG],TableVerdeelsleutelVkm[Voertuigtype],"Lichte voertuigen")*SUMIFS(TableECFTransport[EnergieConsumptieFactor (PJ per km)],TableECFTransport[Index],CONCATENATE($A8,"_LPG_LPG"))</f>
        <v>1.9587369155477598E-4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3.8038383148846049E-2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1.2017301108847625E-2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2.5702923463225094E-3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1.2796799651574591E-3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4.1408953013649122E-7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7.403601492100743E-5</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3.5441529345636176</v>
      </c>
      <c r="C14" s="21"/>
      <c r="D14" s="21">
        <f t="shared" ref="D14:M14" si="0">((D5)*10^9/3600)+D12</f>
        <v>12.133081094241748</v>
      </c>
      <c r="E14" s="21">
        <f t="shared" si="0"/>
        <v>74.4576262840298</v>
      </c>
      <c r="F14" s="21"/>
      <c r="G14" s="21">
        <f t="shared" si="0"/>
        <v>17625.845667358732</v>
      </c>
      <c r="H14" s="21">
        <f t="shared" si="0"/>
        <v>4513.1160022267386</v>
      </c>
      <c r="I14" s="21"/>
      <c r="J14" s="21"/>
      <c r="K14" s="21"/>
      <c r="L14" s="21"/>
      <c r="M14" s="21">
        <f t="shared" si="0"/>
        <v>1158.5073393201694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0.1753502104857371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0.62146796306937313</v>
      </c>
      <c r="C18" s="23"/>
      <c r="D18" s="23">
        <f t="shared" ref="D18:M18" si="1">D14*D16</f>
        <v>2.4508823810368332</v>
      </c>
      <c r="E18" s="23">
        <f t="shared" si="1"/>
        <v>16.901881166474766</v>
      </c>
      <c r="F18" s="23"/>
      <c r="G18" s="23">
        <f t="shared" si="1"/>
        <v>4706.1007931847817</v>
      </c>
      <c r="H18" s="23">
        <f t="shared" si="1"/>
        <v>1123.7658845544579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3.4791222655545166E-3</v>
      </c>
      <c r="H50" s="321">
        <f t="shared" si="2"/>
        <v>0</v>
      </c>
      <c r="I50" s="321">
        <f t="shared" si="2"/>
        <v>0</v>
      </c>
      <c r="J50" s="321">
        <f t="shared" si="2"/>
        <v>0</v>
      </c>
      <c r="K50" s="321">
        <f t="shared" si="2"/>
        <v>0</v>
      </c>
      <c r="L50" s="321">
        <f t="shared" si="2"/>
        <v>0</v>
      </c>
      <c r="M50" s="321">
        <f t="shared" si="2"/>
        <v>1.9840420061529145E-4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3.4791222655545166E-3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1.9840420061529145E-4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966.42285154292131</v>
      </c>
      <c r="H54" s="21">
        <f t="shared" si="3"/>
        <v>0</v>
      </c>
      <c r="I54" s="21">
        <f t="shared" si="3"/>
        <v>0</v>
      </c>
      <c r="J54" s="21">
        <f t="shared" si="3"/>
        <v>0</v>
      </c>
      <c r="K54" s="21">
        <f t="shared" si="3"/>
        <v>0</v>
      </c>
      <c r="L54" s="21">
        <f t="shared" si="3"/>
        <v>0</v>
      </c>
      <c r="M54" s="21">
        <f t="shared" si="3"/>
        <v>55.112277948692068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0.1753502104857371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258.03490136196001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4868.6807752315071</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4868.6807752315071</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6317.915</v>
      </c>
      <c r="D10" s="719">
        <f ca="1">tertiair!C16</f>
        <v>0</v>
      </c>
      <c r="E10" s="719">
        <f ca="1">tertiair!D16</f>
        <v>2590.1534339999998</v>
      </c>
      <c r="F10" s="719">
        <f>tertiair!E16</f>
        <v>49.184265398115201</v>
      </c>
      <c r="G10" s="719">
        <f ca="1">tertiair!F16</f>
        <v>868.72267452744393</v>
      </c>
      <c r="H10" s="719">
        <f>tertiair!G16</f>
        <v>0</v>
      </c>
      <c r="I10" s="719">
        <f>tertiair!H16</f>
        <v>0</v>
      </c>
      <c r="J10" s="719">
        <f>tertiair!I16</f>
        <v>0</v>
      </c>
      <c r="K10" s="719">
        <f>tertiair!J16</f>
        <v>0</v>
      </c>
      <c r="L10" s="719">
        <f>tertiair!K16</f>
        <v>0</v>
      </c>
      <c r="M10" s="719">
        <f ca="1">tertiair!L16</f>
        <v>0</v>
      </c>
      <c r="N10" s="719">
        <f>tertiair!M16</f>
        <v>0</v>
      </c>
      <c r="O10" s="719">
        <f ca="1">tertiair!N16</f>
        <v>775.60125735836368</v>
      </c>
      <c r="P10" s="719">
        <f>tertiair!O16</f>
        <v>1.5633333333333335</v>
      </c>
      <c r="Q10" s="720">
        <f>tertiair!P16</f>
        <v>0</v>
      </c>
      <c r="R10" s="722">
        <f ca="1">SUM(C10:Q10)</f>
        <v>10603.139964617256</v>
      </c>
      <c r="S10" s="67"/>
    </row>
    <row r="11" spans="1:19" s="475" customFormat="1">
      <c r="A11" s="871" t="s">
        <v>225</v>
      </c>
      <c r="B11" s="876"/>
      <c r="C11" s="719">
        <f>huishoudens!B8</f>
        <v>12713.911706529285</v>
      </c>
      <c r="D11" s="719">
        <f>huishoudens!C8</f>
        <v>0</v>
      </c>
      <c r="E11" s="719">
        <f>huishoudens!D8</f>
        <v>12790.546714</v>
      </c>
      <c r="F11" s="719">
        <f>huishoudens!E8</f>
        <v>1118.9158544793579</v>
      </c>
      <c r="G11" s="719">
        <f>huishoudens!F8</f>
        <v>35467.43295705389</v>
      </c>
      <c r="H11" s="719">
        <f>huishoudens!G8</f>
        <v>0</v>
      </c>
      <c r="I11" s="719">
        <f>huishoudens!H8</f>
        <v>0</v>
      </c>
      <c r="J11" s="719">
        <f>huishoudens!I8</f>
        <v>0</v>
      </c>
      <c r="K11" s="719">
        <f>huishoudens!J8</f>
        <v>0</v>
      </c>
      <c r="L11" s="719">
        <f>huishoudens!K8</f>
        <v>0</v>
      </c>
      <c r="M11" s="719">
        <f>huishoudens!L8</f>
        <v>0</v>
      </c>
      <c r="N11" s="719">
        <f>huishoudens!M8</f>
        <v>0</v>
      </c>
      <c r="O11" s="719">
        <f>huishoudens!N8</f>
        <v>4667.542696453751</v>
      </c>
      <c r="P11" s="719">
        <f>huishoudens!O8</f>
        <v>110.99666666666667</v>
      </c>
      <c r="Q11" s="720">
        <f>huishoudens!P8</f>
        <v>438.5333333333333</v>
      </c>
      <c r="R11" s="722">
        <f>SUM(C11:Q11)</f>
        <v>67307.879928516297</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764.59300000000007</v>
      </c>
      <c r="D13" s="719">
        <f>industrie!C18</f>
        <v>0</v>
      </c>
      <c r="E13" s="719">
        <f>industrie!D18</f>
        <v>313.62179200000003</v>
      </c>
      <c r="F13" s="719">
        <f>industrie!E18</f>
        <v>132.34522638652692</v>
      </c>
      <c r="G13" s="719">
        <f>industrie!F18</f>
        <v>666.8274525613856</v>
      </c>
      <c r="H13" s="719">
        <f>industrie!G18</f>
        <v>0</v>
      </c>
      <c r="I13" s="719">
        <f>industrie!H18</f>
        <v>0</v>
      </c>
      <c r="J13" s="719">
        <f>industrie!I18</f>
        <v>0</v>
      </c>
      <c r="K13" s="719">
        <f>industrie!J18</f>
        <v>3.1659171553915719</v>
      </c>
      <c r="L13" s="719">
        <f>industrie!K18</f>
        <v>0</v>
      </c>
      <c r="M13" s="719">
        <f>industrie!L18</f>
        <v>0</v>
      </c>
      <c r="N13" s="719">
        <f>industrie!M18</f>
        <v>0</v>
      </c>
      <c r="O13" s="719">
        <f>industrie!N18</f>
        <v>223.2131553892952</v>
      </c>
      <c r="P13" s="719">
        <f>industrie!O18</f>
        <v>0</v>
      </c>
      <c r="Q13" s="720">
        <f>industrie!P18</f>
        <v>0</v>
      </c>
      <c r="R13" s="722">
        <f>SUM(C13:Q13)</f>
        <v>2103.7665434925993</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19796.419706529286</v>
      </c>
      <c r="D15" s="724">
        <f t="shared" ref="D15:Q15" ca="1" si="0">SUM(D9:D14)</f>
        <v>0</v>
      </c>
      <c r="E15" s="724">
        <f t="shared" ca="1" si="0"/>
        <v>15694.32194</v>
      </c>
      <c r="F15" s="724">
        <f t="shared" si="0"/>
        <v>1300.4453462640001</v>
      </c>
      <c r="G15" s="724">
        <f t="shared" ca="1" si="0"/>
        <v>37002.983084142725</v>
      </c>
      <c r="H15" s="724">
        <f t="shared" si="0"/>
        <v>0</v>
      </c>
      <c r="I15" s="724">
        <f t="shared" si="0"/>
        <v>0</v>
      </c>
      <c r="J15" s="724">
        <f t="shared" si="0"/>
        <v>0</v>
      </c>
      <c r="K15" s="724">
        <f t="shared" si="0"/>
        <v>3.1659171553915719</v>
      </c>
      <c r="L15" s="724">
        <f t="shared" si="0"/>
        <v>0</v>
      </c>
      <c r="M15" s="724">
        <f t="shared" ca="1" si="0"/>
        <v>0</v>
      </c>
      <c r="N15" s="724">
        <f t="shared" si="0"/>
        <v>0</v>
      </c>
      <c r="O15" s="724">
        <f t="shared" ca="1" si="0"/>
        <v>5666.3571092014099</v>
      </c>
      <c r="P15" s="724">
        <f t="shared" si="0"/>
        <v>112.56</v>
      </c>
      <c r="Q15" s="725">
        <f t="shared" si="0"/>
        <v>438.5333333333333</v>
      </c>
      <c r="R15" s="726">
        <f ca="1">SUM(R9:R14)</f>
        <v>80014.786436626149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966.42285154292131</v>
      </c>
      <c r="I18" s="719">
        <f>transport!H54</f>
        <v>0</v>
      </c>
      <c r="J18" s="719">
        <f>transport!I54</f>
        <v>0</v>
      </c>
      <c r="K18" s="719">
        <f>transport!J54</f>
        <v>0</v>
      </c>
      <c r="L18" s="719">
        <f>transport!K54</f>
        <v>0</v>
      </c>
      <c r="M18" s="719">
        <f>transport!L54</f>
        <v>0</v>
      </c>
      <c r="N18" s="719">
        <f>transport!M54</f>
        <v>55.112277948692068</v>
      </c>
      <c r="O18" s="719">
        <f>transport!N54</f>
        <v>0</v>
      </c>
      <c r="P18" s="719">
        <f>transport!O54</f>
        <v>0</v>
      </c>
      <c r="Q18" s="720">
        <f>transport!P54</f>
        <v>0</v>
      </c>
      <c r="R18" s="722">
        <f>SUM(C18:Q18)</f>
        <v>1021.5351294916134</v>
      </c>
      <c r="S18" s="67"/>
    </row>
    <row r="19" spans="1:19" s="475" customFormat="1" ht="15" thickBot="1">
      <c r="A19" s="871" t="s">
        <v>307</v>
      </c>
      <c r="B19" s="876"/>
      <c r="C19" s="728">
        <f>transport!B14</f>
        <v>3.5441529345636176</v>
      </c>
      <c r="D19" s="728">
        <f>transport!C14</f>
        <v>0</v>
      </c>
      <c r="E19" s="728">
        <f>transport!D14</f>
        <v>12.133081094241748</v>
      </c>
      <c r="F19" s="728">
        <f>transport!E14</f>
        <v>74.4576262840298</v>
      </c>
      <c r="G19" s="728">
        <f>transport!F14</f>
        <v>0</v>
      </c>
      <c r="H19" s="728">
        <f>transport!G14</f>
        <v>17625.845667358732</v>
      </c>
      <c r="I19" s="728">
        <f>transport!H14</f>
        <v>4513.1160022267386</v>
      </c>
      <c r="J19" s="728">
        <f>transport!I14</f>
        <v>0</v>
      </c>
      <c r="K19" s="728">
        <f>transport!J14</f>
        <v>0</v>
      </c>
      <c r="L19" s="728">
        <f>transport!K14</f>
        <v>0</v>
      </c>
      <c r="M19" s="728">
        <f>transport!L14</f>
        <v>0</v>
      </c>
      <c r="N19" s="728">
        <f>transport!M14</f>
        <v>1158.5073393201694</v>
      </c>
      <c r="O19" s="728">
        <f>transport!N14</f>
        <v>0</v>
      </c>
      <c r="P19" s="728">
        <f>transport!O14</f>
        <v>0</v>
      </c>
      <c r="Q19" s="729">
        <f>transport!P14</f>
        <v>0</v>
      </c>
      <c r="R19" s="730">
        <f>SUM(C19:Q19)</f>
        <v>23387.603869218477</v>
      </c>
      <c r="S19" s="67"/>
    </row>
    <row r="20" spans="1:19" s="475" customFormat="1" ht="15.75" thickBot="1">
      <c r="A20" s="731" t="s">
        <v>230</v>
      </c>
      <c r="B20" s="879"/>
      <c r="C20" s="874">
        <f>SUM(C17:C19)</f>
        <v>3.5441529345636176</v>
      </c>
      <c r="D20" s="732">
        <f t="shared" ref="D20:R20" si="1">SUM(D17:D19)</f>
        <v>0</v>
      </c>
      <c r="E20" s="732">
        <f t="shared" si="1"/>
        <v>12.133081094241748</v>
      </c>
      <c r="F20" s="732">
        <f t="shared" si="1"/>
        <v>74.4576262840298</v>
      </c>
      <c r="G20" s="732">
        <f t="shared" si="1"/>
        <v>0</v>
      </c>
      <c r="H20" s="732">
        <f t="shared" si="1"/>
        <v>18592.268518901652</v>
      </c>
      <c r="I20" s="732">
        <f t="shared" si="1"/>
        <v>4513.1160022267386</v>
      </c>
      <c r="J20" s="732">
        <f t="shared" si="1"/>
        <v>0</v>
      </c>
      <c r="K20" s="732">
        <f t="shared" si="1"/>
        <v>0</v>
      </c>
      <c r="L20" s="732">
        <f t="shared" si="1"/>
        <v>0</v>
      </c>
      <c r="M20" s="732">
        <f t="shared" si="1"/>
        <v>0</v>
      </c>
      <c r="N20" s="732">
        <f t="shared" si="1"/>
        <v>1213.6196172688615</v>
      </c>
      <c r="O20" s="732">
        <f t="shared" si="1"/>
        <v>0</v>
      </c>
      <c r="P20" s="732">
        <f t="shared" si="1"/>
        <v>0</v>
      </c>
      <c r="Q20" s="733">
        <f t="shared" si="1"/>
        <v>0</v>
      </c>
      <c r="R20" s="734">
        <f t="shared" si="1"/>
        <v>24409.138998710092</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3770.319</v>
      </c>
      <c r="D22" s="728">
        <f>+landbouw!C8</f>
        <v>0</v>
      </c>
      <c r="E22" s="728">
        <f>+landbouw!D8</f>
        <v>33.543576000000002</v>
      </c>
      <c r="F22" s="728">
        <f>+landbouw!E8</f>
        <v>34.922273732756139</v>
      </c>
      <c r="G22" s="728">
        <f>+landbouw!F8</f>
        <v>9566.0175480324233</v>
      </c>
      <c r="H22" s="728">
        <f>+landbouw!G8</f>
        <v>0</v>
      </c>
      <c r="I22" s="728">
        <f>+landbouw!H8</f>
        <v>0</v>
      </c>
      <c r="J22" s="728">
        <f>+landbouw!I8</f>
        <v>0</v>
      </c>
      <c r="K22" s="728">
        <f>+landbouw!J8</f>
        <v>578.03197958284545</v>
      </c>
      <c r="L22" s="728">
        <f>+landbouw!K8</f>
        <v>0</v>
      </c>
      <c r="M22" s="728">
        <f>+landbouw!L8</f>
        <v>0</v>
      </c>
      <c r="N22" s="728">
        <f>+landbouw!M8</f>
        <v>0</v>
      </c>
      <c r="O22" s="728">
        <f>+landbouw!N8</f>
        <v>0</v>
      </c>
      <c r="P22" s="728">
        <f>+landbouw!O8</f>
        <v>0</v>
      </c>
      <c r="Q22" s="729">
        <f>+landbouw!P8</f>
        <v>0</v>
      </c>
      <c r="R22" s="730">
        <f>SUM(C22:Q22)</f>
        <v>13982.834377348025</v>
      </c>
      <c r="S22" s="67"/>
    </row>
    <row r="23" spans="1:19" s="475" customFormat="1" ht="17.25" thickTop="1" thickBot="1">
      <c r="A23" s="735" t="s">
        <v>116</v>
      </c>
      <c r="B23" s="865"/>
      <c r="C23" s="736">
        <f ca="1">C20+C15+C22</f>
        <v>23570.282859463849</v>
      </c>
      <c r="D23" s="736">
        <f t="shared" ref="D23:Q23" ca="1" si="2">D20+D15+D22</f>
        <v>0</v>
      </c>
      <c r="E23" s="736">
        <f t="shared" ca="1" si="2"/>
        <v>15739.998597094242</v>
      </c>
      <c r="F23" s="736">
        <f t="shared" si="2"/>
        <v>1409.8252462807861</v>
      </c>
      <c r="G23" s="736">
        <f t="shared" ca="1" si="2"/>
        <v>46569.00063217515</v>
      </c>
      <c r="H23" s="736">
        <f t="shared" si="2"/>
        <v>18592.268518901652</v>
      </c>
      <c r="I23" s="736">
        <f t="shared" si="2"/>
        <v>4513.1160022267386</v>
      </c>
      <c r="J23" s="736">
        <f t="shared" si="2"/>
        <v>0</v>
      </c>
      <c r="K23" s="736">
        <f t="shared" si="2"/>
        <v>581.19789673823698</v>
      </c>
      <c r="L23" s="736">
        <f t="shared" si="2"/>
        <v>0</v>
      </c>
      <c r="M23" s="736">
        <f t="shared" ca="1" si="2"/>
        <v>0</v>
      </c>
      <c r="N23" s="736">
        <f t="shared" si="2"/>
        <v>1213.6196172688615</v>
      </c>
      <c r="O23" s="736">
        <f t="shared" ca="1" si="2"/>
        <v>5666.3571092014099</v>
      </c>
      <c r="P23" s="736">
        <f t="shared" si="2"/>
        <v>112.56</v>
      </c>
      <c r="Q23" s="737">
        <f t="shared" si="2"/>
        <v>438.5333333333333</v>
      </c>
      <c r="R23" s="738">
        <f ca="1">R20+R15+R22</f>
        <v>118406.75981268428</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1107.8477250809956</v>
      </c>
      <c r="D36" s="719">
        <f ca="1">tertiair!C20</f>
        <v>0</v>
      </c>
      <c r="E36" s="719">
        <f ca="1">tertiair!D20</f>
        <v>523.21099366800001</v>
      </c>
      <c r="F36" s="719">
        <f>tertiair!E20</f>
        <v>11.164828245372151</v>
      </c>
      <c r="G36" s="719">
        <f ca="1">tertiair!F20</f>
        <v>231.94895409882753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1874.172501093195</v>
      </c>
    </row>
    <row r="37" spans="1:18">
      <c r="A37" s="886" t="s">
        <v>225</v>
      </c>
      <c r="B37" s="893"/>
      <c r="C37" s="719">
        <f ca="1">huishoudens!B12</f>
        <v>2229.3870938369869</v>
      </c>
      <c r="D37" s="719">
        <f ca="1">huishoudens!C12</f>
        <v>0</v>
      </c>
      <c r="E37" s="719">
        <f>huishoudens!D12</f>
        <v>2583.6904362280002</v>
      </c>
      <c r="F37" s="719">
        <f>huishoudens!E12</f>
        <v>253.99389896681424</v>
      </c>
      <c r="G37" s="719">
        <f>huishoudens!F12</f>
        <v>9469.8045995333887</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14536.876028565192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134.07154348592118</v>
      </c>
      <c r="D39" s="719">
        <f ca="1">industrie!C22</f>
        <v>0</v>
      </c>
      <c r="E39" s="719">
        <f>industrie!D22</f>
        <v>63.351601984000013</v>
      </c>
      <c r="F39" s="719">
        <f>industrie!E22</f>
        <v>30.042366389741613</v>
      </c>
      <c r="G39" s="719">
        <f>industrie!F22</f>
        <v>178.04292983388996</v>
      </c>
      <c r="H39" s="719">
        <f>industrie!G22</f>
        <v>0</v>
      </c>
      <c r="I39" s="719">
        <f>industrie!H22</f>
        <v>0</v>
      </c>
      <c r="J39" s="719">
        <f>industrie!I22</f>
        <v>0</v>
      </c>
      <c r="K39" s="719">
        <f>industrie!J22</f>
        <v>1.1207346730086165</v>
      </c>
      <c r="L39" s="719">
        <f>industrie!K22</f>
        <v>0</v>
      </c>
      <c r="M39" s="719">
        <f>industrie!L22</f>
        <v>0</v>
      </c>
      <c r="N39" s="719">
        <f>industrie!M22</f>
        <v>0</v>
      </c>
      <c r="O39" s="719">
        <f>industrie!N22</f>
        <v>0</v>
      </c>
      <c r="P39" s="719">
        <f>industrie!O22</f>
        <v>0</v>
      </c>
      <c r="Q39" s="829">
        <f>industrie!P22</f>
        <v>0</v>
      </c>
      <c r="R39" s="919">
        <f ca="1">SUM(C39:Q39)</f>
        <v>406.62917636656135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3471.3063624039037</v>
      </c>
      <c r="D41" s="764">
        <f t="shared" ref="D41:R41" ca="1" si="4">SUM(D35:D40)</f>
        <v>0</v>
      </c>
      <c r="E41" s="764">
        <f t="shared" ca="1" si="4"/>
        <v>3170.25303188</v>
      </c>
      <c r="F41" s="764">
        <f t="shared" si="4"/>
        <v>295.20109360192805</v>
      </c>
      <c r="G41" s="764">
        <f t="shared" ca="1" si="4"/>
        <v>9879.7964834661052</v>
      </c>
      <c r="H41" s="764">
        <f t="shared" si="4"/>
        <v>0</v>
      </c>
      <c r="I41" s="764">
        <f t="shared" si="4"/>
        <v>0</v>
      </c>
      <c r="J41" s="764">
        <f t="shared" si="4"/>
        <v>0</v>
      </c>
      <c r="K41" s="764">
        <f t="shared" si="4"/>
        <v>1.1207346730086165</v>
      </c>
      <c r="L41" s="764">
        <f t="shared" si="4"/>
        <v>0</v>
      </c>
      <c r="M41" s="764">
        <f t="shared" ca="1" si="4"/>
        <v>0</v>
      </c>
      <c r="N41" s="764">
        <f t="shared" si="4"/>
        <v>0</v>
      </c>
      <c r="O41" s="764">
        <f t="shared" ca="1" si="4"/>
        <v>0</v>
      </c>
      <c r="P41" s="764">
        <f t="shared" si="4"/>
        <v>0</v>
      </c>
      <c r="Q41" s="765">
        <f t="shared" si="4"/>
        <v>0</v>
      </c>
      <c r="R41" s="766">
        <f t="shared" ca="1" si="4"/>
        <v>16817.677706024948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258.03490136196001</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258.03490136196001</v>
      </c>
    </row>
    <row r="45" spans="1:18" ht="15" thickBot="1">
      <c r="A45" s="889" t="s">
        <v>307</v>
      </c>
      <c r="B45" s="899"/>
      <c r="C45" s="728">
        <f ca="1">transport!B18</f>
        <v>0.62146796306937313</v>
      </c>
      <c r="D45" s="728">
        <f>transport!C18</f>
        <v>0</v>
      </c>
      <c r="E45" s="728">
        <f>transport!D18</f>
        <v>2.4508823810368332</v>
      </c>
      <c r="F45" s="728">
        <f>transport!E18</f>
        <v>16.901881166474766</v>
      </c>
      <c r="G45" s="728">
        <f>transport!F18</f>
        <v>0</v>
      </c>
      <c r="H45" s="728">
        <f>transport!G18</f>
        <v>4706.1007931847817</v>
      </c>
      <c r="I45" s="728">
        <f>transport!H18</f>
        <v>1123.7658845544579</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5849.8409092498205</v>
      </c>
    </row>
    <row r="46" spans="1:18" ht="15.75" thickBot="1">
      <c r="A46" s="887" t="s">
        <v>230</v>
      </c>
      <c r="B46" s="900"/>
      <c r="C46" s="764">
        <f t="shared" ref="C46:R46" ca="1" si="5">SUM(C43:C45)</f>
        <v>0.62146796306937313</v>
      </c>
      <c r="D46" s="764">
        <f t="shared" ca="1" si="5"/>
        <v>0</v>
      </c>
      <c r="E46" s="764">
        <f t="shared" si="5"/>
        <v>2.4508823810368332</v>
      </c>
      <c r="F46" s="764">
        <f t="shared" si="5"/>
        <v>16.901881166474766</v>
      </c>
      <c r="G46" s="764">
        <f t="shared" si="5"/>
        <v>0</v>
      </c>
      <c r="H46" s="764">
        <f t="shared" si="5"/>
        <v>4964.1356945467414</v>
      </c>
      <c r="I46" s="764">
        <f t="shared" si="5"/>
        <v>1123.7658845544579</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6107.8758106117803</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661.12623024837376</v>
      </c>
      <c r="D48" s="719">
        <f ca="1">+landbouw!C12</f>
        <v>0</v>
      </c>
      <c r="E48" s="719">
        <f>+landbouw!D12</f>
        <v>6.7758023520000004</v>
      </c>
      <c r="F48" s="719">
        <f>+landbouw!E12</f>
        <v>7.9273561373356438</v>
      </c>
      <c r="G48" s="719">
        <f>+landbouw!F12</f>
        <v>2554.126685324657</v>
      </c>
      <c r="H48" s="719">
        <f>+landbouw!G12</f>
        <v>0</v>
      </c>
      <c r="I48" s="719">
        <f>+landbouw!H12</f>
        <v>0</v>
      </c>
      <c r="J48" s="719">
        <f>+landbouw!I12</f>
        <v>0</v>
      </c>
      <c r="K48" s="719">
        <f>+landbouw!J12</f>
        <v>204.62332077232728</v>
      </c>
      <c r="L48" s="719">
        <f>+landbouw!K12</f>
        <v>0</v>
      </c>
      <c r="M48" s="719">
        <f>+landbouw!L12</f>
        <v>0</v>
      </c>
      <c r="N48" s="719">
        <f>+landbouw!M12</f>
        <v>0</v>
      </c>
      <c r="O48" s="719">
        <f>+landbouw!N12</f>
        <v>0</v>
      </c>
      <c r="P48" s="719">
        <f>+landbouw!O12</f>
        <v>0</v>
      </c>
      <c r="Q48" s="720">
        <f>+landbouw!P12</f>
        <v>0</v>
      </c>
      <c r="R48" s="762">
        <f ca="1">SUM(C48:Q48)</f>
        <v>3434.5793948346936</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4133.0540606153463</v>
      </c>
      <c r="D53" s="774">
        <f t="shared" ref="D53:Q53" ca="1" si="6">D41+D46+D48</f>
        <v>0</v>
      </c>
      <c r="E53" s="774">
        <f t="shared" ca="1" si="6"/>
        <v>3179.479716613037</v>
      </c>
      <c r="F53" s="774">
        <f t="shared" si="6"/>
        <v>320.03033090573848</v>
      </c>
      <c r="G53" s="774">
        <f t="shared" ca="1" si="6"/>
        <v>12433.923168790763</v>
      </c>
      <c r="H53" s="774">
        <f t="shared" si="6"/>
        <v>4964.1356945467414</v>
      </c>
      <c r="I53" s="774">
        <f t="shared" si="6"/>
        <v>1123.7658845544579</v>
      </c>
      <c r="J53" s="774">
        <f t="shared" si="6"/>
        <v>0</v>
      </c>
      <c r="K53" s="774">
        <f t="shared" si="6"/>
        <v>205.7440554453359</v>
      </c>
      <c r="L53" s="774">
        <f t="shared" si="6"/>
        <v>0</v>
      </c>
      <c r="M53" s="774">
        <f t="shared" ca="1" si="6"/>
        <v>0</v>
      </c>
      <c r="N53" s="774">
        <f t="shared" si="6"/>
        <v>0</v>
      </c>
      <c r="O53" s="774">
        <f t="shared" ca="1" si="6"/>
        <v>0</v>
      </c>
      <c r="P53" s="774">
        <f>P41+P46+P48</f>
        <v>0</v>
      </c>
      <c r="Q53" s="775">
        <f t="shared" si="6"/>
        <v>0</v>
      </c>
      <c r="R53" s="776">
        <f ca="1">R41+R46+R48</f>
        <v>26360.132911471421</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0.17535021048573707</v>
      </c>
      <c r="D55" s="837">
        <f t="shared" ca="1" si="7"/>
        <v>0</v>
      </c>
      <c r="E55" s="837">
        <f t="shared" ca="1" si="7"/>
        <v>0.20200000000000001</v>
      </c>
      <c r="F55" s="837">
        <f t="shared" si="7"/>
        <v>0.22700000000000001</v>
      </c>
      <c r="G55" s="837">
        <f t="shared" ca="1" si="7"/>
        <v>0.26699999999999996</v>
      </c>
      <c r="H55" s="837">
        <f t="shared" si="7"/>
        <v>0.26700000000000002</v>
      </c>
      <c r="I55" s="837">
        <f t="shared" si="7"/>
        <v>0.249</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4868.6807752315071</v>
      </c>
      <c r="C66" s="796">
        <f>'lokale energieproductie'!B6</f>
        <v>4868.6807752315071</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4868.6807752315071</v>
      </c>
      <c r="C69" s="804">
        <f>SUM(C64:C68)</f>
        <v>4868.6807752315071</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12713.911706529285</v>
      </c>
      <c r="C4" s="479">
        <f>huishoudens!C8</f>
        <v>0</v>
      </c>
      <c r="D4" s="479">
        <f>huishoudens!D8</f>
        <v>12790.546714</v>
      </c>
      <c r="E4" s="479">
        <f>huishoudens!E8</f>
        <v>1118.9158544793579</v>
      </c>
      <c r="F4" s="479">
        <f>huishoudens!F8</f>
        <v>35467.43295705389</v>
      </c>
      <c r="G4" s="479">
        <f>huishoudens!G8</f>
        <v>0</v>
      </c>
      <c r="H4" s="479">
        <f>huishoudens!H8</f>
        <v>0</v>
      </c>
      <c r="I4" s="479">
        <f>huishoudens!I8</f>
        <v>0</v>
      </c>
      <c r="J4" s="479">
        <f>huishoudens!J8</f>
        <v>0</v>
      </c>
      <c r="K4" s="479">
        <f>huishoudens!K8</f>
        <v>0</v>
      </c>
      <c r="L4" s="479">
        <f>huishoudens!L8</f>
        <v>0</v>
      </c>
      <c r="M4" s="479">
        <f>huishoudens!M8</f>
        <v>0</v>
      </c>
      <c r="N4" s="479">
        <f>huishoudens!N8</f>
        <v>4667.542696453751</v>
      </c>
      <c r="O4" s="479">
        <f>huishoudens!O8</f>
        <v>110.99666666666667</v>
      </c>
      <c r="P4" s="480">
        <f>huishoudens!P8</f>
        <v>438.5333333333333</v>
      </c>
      <c r="Q4" s="481">
        <f>SUM(B4:P4)</f>
        <v>67307.879928516297</v>
      </c>
    </row>
    <row r="5" spans="1:17">
      <c r="A5" s="478" t="s">
        <v>156</v>
      </c>
      <c r="B5" s="479">
        <f ca="1">tertiair!B16</f>
        <v>5813.0709999999999</v>
      </c>
      <c r="C5" s="479">
        <f ca="1">tertiair!C16</f>
        <v>0</v>
      </c>
      <c r="D5" s="479">
        <f ca="1">tertiair!D16</f>
        <v>2590.1534339999998</v>
      </c>
      <c r="E5" s="479">
        <f>tertiair!E16</f>
        <v>49.184265398115201</v>
      </c>
      <c r="F5" s="479">
        <f ca="1">tertiair!F16</f>
        <v>868.72267452744393</v>
      </c>
      <c r="G5" s="479">
        <f>tertiair!G16</f>
        <v>0</v>
      </c>
      <c r="H5" s="479">
        <f>tertiair!H16</f>
        <v>0</v>
      </c>
      <c r="I5" s="479">
        <f>tertiair!I16</f>
        <v>0</v>
      </c>
      <c r="J5" s="479">
        <f>tertiair!J16</f>
        <v>0</v>
      </c>
      <c r="K5" s="479">
        <f>tertiair!K16</f>
        <v>0</v>
      </c>
      <c r="L5" s="479">
        <f ca="1">tertiair!L16</f>
        <v>0</v>
      </c>
      <c r="M5" s="479">
        <f>tertiair!M16</f>
        <v>0</v>
      </c>
      <c r="N5" s="479">
        <f ca="1">tertiair!N16</f>
        <v>775.60125735836368</v>
      </c>
      <c r="O5" s="479">
        <f>tertiair!O16</f>
        <v>1.5633333333333335</v>
      </c>
      <c r="P5" s="480">
        <f>tertiair!P16</f>
        <v>0</v>
      </c>
      <c r="Q5" s="478">
        <f t="shared" ref="Q5:Q13" ca="1" si="0">SUM(B5:P5)</f>
        <v>10098.295964617255</v>
      </c>
    </row>
    <row r="6" spans="1:17">
      <c r="A6" s="478" t="s">
        <v>194</v>
      </c>
      <c r="B6" s="479">
        <f>'openbare verlichting'!B8</f>
        <v>504.84399999999999</v>
      </c>
      <c r="C6" s="479"/>
      <c r="D6" s="479"/>
      <c r="E6" s="479"/>
      <c r="F6" s="479"/>
      <c r="G6" s="479"/>
      <c r="H6" s="479"/>
      <c r="I6" s="479"/>
      <c r="J6" s="479"/>
      <c r="K6" s="479"/>
      <c r="L6" s="479"/>
      <c r="M6" s="479"/>
      <c r="N6" s="479"/>
      <c r="O6" s="479"/>
      <c r="P6" s="480"/>
      <c r="Q6" s="478">
        <f t="shared" si="0"/>
        <v>504.84399999999999</v>
      </c>
    </row>
    <row r="7" spans="1:17">
      <c r="A7" s="478" t="s">
        <v>112</v>
      </c>
      <c r="B7" s="479">
        <f>landbouw!B8</f>
        <v>3770.319</v>
      </c>
      <c r="C7" s="479">
        <f>landbouw!C8</f>
        <v>0</v>
      </c>
      <c r="D7" s="479">
        <f>landbouw!D8</f>
        <v>33.543576000000002</v>
      </c>
      <c r="E7" s="479">
        <f>landbouw!E8</f>
        <v>34.922273732756139</v>
      </c>
      <c r="F7" s="479">
        <f>landbouw!F8</f>
        <v>9566.0175480324233</v>
      </c>
      <c r="G7" s="479">
        <f>landbouw!G8</f>
        <v>0</v>
      </c>
      <c r="H7" s="479">
        <f>landbouw!H8</f>
        <v>0</v>
      </c>
      <c r="I7" s="479">
        <f>landbouw!I8</f>
        <v>0</v>
      </c>
      <c r="J7" s="479">
        <f>landbouw!J8</f>
        <v>578.03197958284545</v>
      </c>
      <c r="K7" s="479">
        <f>landbouw!K8</f>
        <v>0</v>
      </c>
      <c r="L7" s="479">
        <f>landbouw!L8</f>
        <v>0</v>
      </c>
      <c r="M7" s="479">
        <f>landbouw!M8</f>
        <v>0</v>
      </c>
      <c r="N7" s="479">
        <f>landbouw!N8</f>
        <v>0</v>
      </c>
      <c r="O7" s="479">
        <f>landbouw!O8</f>
        <v>0</v>
      </c>
      <c r="P7" s="480">
        <f>landbouw!P8</f>
        <v>0</v>
      </c>
      <c r="Q7" s="478">
        <f t="shared" si="0"/>
        <v>13982.834377348025</v>
      </c>
    </row>
    <row r="8" spans="1:17">
      <c r="A8" s="478" t="s">
        <v>650</v>
      </c>
      <c r="B8" s="479">
        <f>industrie!B18</f>
        <v>764.59300000000007</v>
      </c>
      <c r="C8" s="479">
        <f>industrie!C18</f>
        <v>0</v>
      </c>
      <c r="D8" s="479">
        <f>industrie!D18</f>
        <v>313.62179200000003</v>
      </c>
      <c r="E8" s="479">
        <f>industrie!E18</f>
        <v>132.34522638652692</v>
      </c>
      <c r="F8" s="479">
        <f>industrie!F18</f>
        <v>666.8274525613856</v>
      </c>
      <c r="G8" s="479">
        <f>industrie!G18</f>
        <v>0</v>
      </c>
      <c r="H8" s="479">
        <f>industrie!H18</f>
        <v>0</v>
      </c>
      <c r="I8" s="479">
        <f>industrie!I18</f>
        <v>0</v>
      </c>
      <c r="J8" s="479">
        <f>industrie!J18</f>
        <v>3.1659171553915719</v>
      </c>
      <c r="K8" s="479">
        <f>industrie!K18</f>
        <v>0</v>
      </c>
      <c r="L8" s="479">
        <f>industrie!L18</f>
        <v>0</v>
      </c>
      <c r="M8" s="479">
        <f>industrie!M18</f>
        <v>0</v>
      </c>
      <c r="N8" s="479">
        <f>industrie!N18</f>
        <v>223.2131553892952</v>
      </c>
      <c r="O8" s="479">
        <f>industrie!O18</f>
        <v>0</v>
      </c>
      <c r="P8" s="480">
        <f>industrie!P18</f>
        <v>0</v>
      </c>
      <c r="Q8" s="478">
        <f t="shared" si="0"/>
        <v>2103.7665434925993</v>
      </c>
    </row>
    <row r="9" spans="1:17" s="484" customFormat="1">
      <c r="A9" s="482" t="s">
        <v>571</v>
      </c>
      <c r="B9" s="483">
        <f>transport!B14</f>
        <v>3.5441529345636176</v>
      </c>
      <c r="C9" s="483"/>
      <c r="D9" s="483">
        <f>transport!D14</f>
        <v>12.133081094241748</v>
      </c>
      <c r="E9" s="483">
        <f>transport!E14</f>
        <v>74.4576262840298</v>
      </c>
      <c r="F9" s="483"/>
      <c r="G9" s="483">
        <f>transport!G14</f>
        <v>17625.845667358732</v>
      </c>
      <c r="H9" s="483">
        <f>transport!H14</f>
        <v>4513.1160022267386</v>
      </c>
      <c r="I9" s="483"/>
      <c r="J9" s="483"/>
      <c r="K9" s="483"/>
      <c r="L9" s="483"/>
      <c r="M9" s="483">
        <f>transport!M14</f>
        <v>1158.5073393201694</v>
      </c>
      <c r="N9" s="483"/>
      <c r="O9" s="483"/>
      <c r="P9" s="483"/>
      <c r="Q9" s="482">
        <f>SUM(B9:P9)</f>
        <v>23387.603869218477</v>
      </c>
    </row>
    <row r="10" spans="1:17">
      <c r="A10" s="478" t="s">
        <v>561</v>
      </c>
      <c r="B10" s="479">
        <f>transport!B54</f>
        <v>0</v>
      </c>
      <c r="C10" s="479"/>
      <c r="D10" s="479">
        <f>transport!D54</f>
        <v>0</v>
      </c>
      <c r="E10" s="479"/>
      <c r="F10" s="479"/>
      <c r="G10" s="479">
        <f>transport!G54</f>
        <v>966.42285154292131</v>
      </c>
      <c r="H10" s="479"/>
      <c r="I10" s="479"/>
      <c r="J10" s="479"/>
      <c r="K10" s="479"/>
      <c r="L10" s="479"/>
      <c r="M10" s="479">
        <f>transport!M54</f>
        <v>55.112277948692068</v>
      </c>
      <c r="N10" s="479"/>
      <c r="O10" s="479"/>
      <c r="P10" s="480"/>
      <c r="Q10" s="478">
        <f t="shared" si="0"/>
        <v>1021.5351294916134</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23570.282859463849</v>
      </c>
      <c r="C14" s="489">
        <f t="shared" ref="C14:Q14" ca="1" si="1">SUM(C4:C13)</f>
        <v>0</v>
      </c>
      <c r="D14" s="489">
        <f t="shared" ca="1" si="1"/>
        <v>15739.998597094242</v>
      </c>
      <c r="E14" s="489">
        <f t="shared" si="1"/>
        <v>1409.8252462807861</v>
      </c>
      <c r="F14" s="489">
        <f t="shared" ca="1" si="1"/>
        <v>46569.00063217515</v>
      </c>
      <c r="G14" s="489">
        <f t="shared" si="1"/>
        <v>18592.268518901652</v>
      </c>
      <c r="H14" s="489">
        <f t="shared" si="1"/>
        <v>4513.1160022267386</v>
      </c>
      <c r="I14" s="489">
        <f t="shared" si="1"/>
        <v>0</v>
      </c>
      <c r="J14" s="489">
        <f t="shared" si="1"/>
        <v>581.19789673823698</v>
      </c>
      <c r="K14" s="489">
        <f t="shared" si="1"/>
        <v>0</v>
      </c>
      <c r="L14" s="489">
        <f t="shared" ca="1" si="1"/>
        <v>0</v>
      </c>
      <c r="M14" s="489">
        <f t="shared" si="1"/>
        <v>1213.6196172688615</v>
      </c>
      <c r="N14" s="489">
        <f t="shared" ca="1" si="1"/>
        <v>5666.3571092014099</v>
      </c>
      <c r="O14" s="489">
        <f t="shared" si="1"/>
        <v>112.56</v>
      </c>
      <c r="P14" s="490">
        <f t="shared" si="1"/>
        <v>438.5333333333333</v>
      </c>
      <c r="Q14" s="490">
        <f t="shared" ca="1" si="1"/>
        <v>118406.75981268428</v>
      </c>
    </row>
    <row r="16" spans="1:17">
      <c r="A16" s="492" t="s">
        <v>566</v>
      </c>
      <c r="B16" s="842">
        <f ca="1">huishoudens!B10</f>
        <v>0.1753502104857371</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2229.3870938369869</v>
      </c>
      <c r="C21" s="479">
        <f t="shared" ref="C21:C28" ca="1" si="3">C4*$C$16</f>
        <v>0</v>
      </c>
      <c r="D21" s="479">
        <f t="shared" ref="D21:D30" si="4">D4*$D$16</f>
        <v>2583.6904362280002</v>
      </c>
      <c r="E21" s="479">
        <f t="shared" ref="E21:E30" si="5">E4*$E$16</f>
        <v>253.99389896681424</v>
      </c>
      <c r="F21" s="479">
        <f t="shared" ref="F21:F28" si="6">F4*$F$16</f>
        <v>9469.8045995333887</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14536.876028565192</v>
      </c>
    </row>
    <row r="22" spans="1:17">
      <c r="A22" s="478" t="s">
        <v>156</v>
      </c>
      <c r="B22" s="479">
        <f t="shared" ca="1" si="2"/>
        <v>1019.3232234185342</v>
      </c>
      <c r="C22" s="479">
        <f t="shared" ca="1" si="3"/>
        <v>0</v>
      </c>
      <c r="D22" s="479">
        <f t="shared" ca="1" si="4"/>
        <v>523.21099366800001</v>
      </c>
      <c r="E22" s="479">
        <f t="shared" si="5"/>
        <v>11.164828245372151</v>
      </c>
      <c r="F22" s="479">
        <f t="shared" ca="1" si="6"/>
        <v>231.94895409882753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1785.6479994307338</v>
      </c>
    </row>
    <row r="23" spans="1:17">
      <c r="A23" s="478" t="s">
        <v>194</v>
      </c>
      <c r="B23" s="479">
        <f t="shared" ca="1" si="2"/>
        <v>88.524501662461461</v>
      </c>
      <c r="C23" s="479"/>
      <c r="D23" s="479"/>
      <c r="E23" s="479"/>
      <c r="F23" s="479"/>
      <c r="G23" s="479"/>
      <c r="H23" s="479"/>
      <c r="I23" s="479"/>
      <c r="J23" s="479"/>
      <c r="K23" s="479"/>
      <c r="L23" s="479"/>
      <c r="M23" s="479"/>
      <c r="N23" s="479"/>
      <c r="O23" s="479"/>
      <c r="P23" s="480"/>
      <c r="Q23" s="478">
        <f t="shared" ca="1" si="17"/>
        <v>88.524501662461461</v>
      </c>
    </row>
    <row r="24" spans="1:17">
      <c r="A24" s="478" t="s">
        <v>112</v>
      </c>
      <c r="B24" s="479">
        <f t="shared" ca="1" si="2"/>
        <v>661.12623024837376</v>
      </c>
      <c r="C24" s="479">
        <f t="shared" ca="1" si="3"/>
        <v>0</v>
      </c>
      <c r="D24" s="479">
        <f t="shared" si="4"/>
        <v>6.7758023520000004</v>
      </c>
      <c r="E24" s="479">
        <f t="shared" si="5"/>
        <v>7.9273561373356438</v>
      </c>
      <c r="F24" s="479">
        <f t="shared" si="6"/>
        <v>2554.126685324657</v>
      </c>
      <c r="G24" s="479">
        <f t="shared" si="7"/>
        <v>0</v>
      </c>
      <c r="H24" s="479">
        <f t="shared" si="8"/>
        <v>0</v>
      </c>
      <c r="I24" s="479">
        <f t="shared" si="9"/>
        <v>0</v>
      </c>
      <c r="J24" s="479">
        <f t="shared" si="10"/>
        <v>204.62332077232728</v>
      </c>
      <c r="K24" s="479">
        <f t="shared" si="11"/>
        <v>0</v>
      </c>
      <c r="L24" s="479">
        <f t="shared" si="12"/>
        <v>0</v>
      </c>
      <c r="M24" s="479">
        <f t="shared" si="13"/>
        <v>0</v>
      </c>
      <c r="N24" s="479">
        <f t="shared" si="14"/>
        <v>0</v>
      </c>
      <c r="O24" s="479">
        <f t="shared" si="15"/>
        <v>0</v>
      </c>
      <c r="P24" s="480">
        <f t="shared" si="16"/>
        <v>0</v>
      </c>
      <c r="Q24" s="478">
        <f t="shared" ca="1" si="17"/>
        <v>3434.5793948346936</v>
      </c>
    </row>
    <row r="25" spans="1:17">
      <c r="A25" s="478" t="s">
        <v>650</v>
      </c>
      <c r="B25" s="479">
        <f t="shared" ca="1" si="2"/>
        <v>134.07154348592118</v>
      </c>
      <c r="C25" s="479">
        <f t="shared" ca="1" si="3"/>
        <v>0</v>
      </c>
      <c r="D25" s="479">
        <f t="shared" si="4"/>
        <v>63.351601984000013</v>
      </c>
      <c r="E25" s="479">
        <f t="shared" si="5"/>
        <v>30.042366389741613</v>
      </c>
      <c r="F25" s="479">
        <f t="shared" si="6"/>
        <v>178.04292983388996</v>
      </c>
      <c r="G25" s="479">
        <f t="shared" si="7"/>
        <v>0</v>
      </c>
      <c r="H25" s="479">
        <f t="shared" si="8"/>
        <v>0</v>
      </c>
      <c r="I25" s="479">
        <f t="shared" si="9"/>
        <v>0</v>
      </c>
      <c r="J25" s="479">
        <f t="shared" si="10"/>
        <v>1.1207346730086165</v>
      </c>
      <c r="K25" s="479">
        <f t="shared" si="11"/>
        <v>0</v>
      </c>
      <c r="L25" s="479">
        <f t="shared" si="12"/>
        <v>0</v>
      </c>
      <c r="M25" s="479">
        <f t="shared" si="13"/>
        <v>0</v>
      </c>
      <c r="N25" s="479">
        <f t="shared" si="14"/>
        <v>0</v>
      </c>
      <c r="O25" s="479">
        <f t="shared" si="15"/>
        <v>0</v>
      </c>
      <c r="P25" s="480">
        <f t="shared" si="16"/>
        <v>0</v>
      </c>
      <c r="Q25" s="478">
        <f t="shared" ca="1" si="17"/>
        <v>406.62917636656135</v>
      </c>
    </row>
    <row r="26" spans="1:17" s="484" customFormat="1">
      <c r="A26" s="482" t="s">
        <v>571</v>
      </c>
      <c r="B26" s="836">
        <f t="shared" ca="1" si="2"/>
        <v>0.62146796306937313</v>
      </c>
      <c r="C26" s="483"/>
      <c r="D26" s="483">
        <f t="shared" si="4"/>
        <v>2.4508823810368332</v>
      </c>
      <c r="E26" s="483">
        <f t="shared" si="5"/>
        <v>16.901881166474766</v>
      </c>
      <c r="F26" s="483"/>
      <c r="G26" s="483">
        <f t="shared" si="7"/>
        <v>4706.1007931847817</v>
      </c>
      <c r="H26" s="483">
        <f t="shared" si="8"/>
        <v>1123.7658845544579</v>
      </c>
      <c r="I26" s="483"/>
      <c r="J26" s="483"/>
      <c r="K26" s="483"/>
      <c r="L26" s="483"/>
      <c r="M26" s="483">
        <f t="shared" si="13"/>
        <v>0</v>
      </c>
      <c r="N26" s="483"/>
      <c r="O26" s="483"/>
      <c r="P26" s="494"/>
      <c r="Q26" s="482">
        <f t="shared" ca="1" si="17"/>
        <v>5849.8409092498205</v>
      </c>
    </row>
    <row r="27" spans="1:17">
      <c r="A27" s="478" t="s">
        <v>561</v>
      </c>
      <c r="B27" s="479">
        <f t="shared" ca="1" si="2"/>
        <v>0</v>
      </c>
      <c r="C27" s="479"/>
      <c r="D27" s="483">
        <f t="shared" si="4"/>
        <v>0</v>
      </c>
      <c r="E27" s="479"/>
      <c r="F27" s="479"/>
      <c r="G27" s="479">
        <f t="shared" si="7"/>
        <v>258.03490136196001</v>
      </c>
      <c r="H27" s="479"/>
      <c r="I27" s="479"/>
      <c r="J27" s="479"/>
      <c r="K27" s="479"/>
      <c r="L27" s="479"/>
      <c r="M27" s="479">
        <f t="shared" si="13"/>
        <v>0</v>
      </c>
      <c r="N27" s="479"/>
      <c r="O27" s="479"/>
      <c r="P27" s="480"/>
      <c r="Q27" s="478">
        <f t="shared" ca="1" si="17"/>
        <v>258.03490136196001</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4133.0540606153463</v>
      </c>
      <c r="C31" s="489">
        <f t="shared" ca="1" si="18"/>
        <v>0</v>
      </c>
      <c r="D31" s="489">
        <f t="shared" ca="1" si="18"/>
        <v>3179.479716613037</v>
      </c>
      <c r="E31" s="489">
        <f t="shared" si="18"/>
        <v>320.03033090573848</v>
      </c>
      <c r="F31" s="489">
        <f t="shared" ca="1" si="18"/>
        <v>12433.923168790763</v>
      </c>
      <c r="G31" s="489">
        <f t="shared" si="18"/>
        <v>4964.1356945467414</v>
      </c>
      <c r="H31" s="489">
        <f t="shared" si="18"/>
        <v>1123.7658845544579</v>
      </c>
      <c r="I31" s="489">
        <f t="shared" si="18"/>
        <v>0</v>
      </c>
      <c r="J31" s="489">
        <f t="shared" si="18"/>
        <v>205.7440554453359</v>
      </c>
      <c r="K31" s="489">
        <f t="shared" si="18"/>
        <v>0</v>
      </c>
      <c r="L31" s="489">
        <f t="shared" ca="1" si="18"/>
        <v>0</v>
      </c>
      <c r="M31" s="489">
        <f t="shared" si="18"/>
        <v>0</v>
      </c>
      <c r="N31" s="489">
        <f t="shared" ca="1" si="18"/>
        <v>0</v>
      </c>
      <c r="O31" s="489">
        <f t="shared" si="18"/>
        <v>0</v>
      </c>
      <c r="P31" s="490">
        <f t="shared" si="18"/>
        <v>0</v>
      </c>
      <c r="Q31" s="490">
        <f t="shared" ca="1" si="18"/>
        <v>26360.132911471421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0.1753502104857371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0.1753502104857371</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0.1753502104857371</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2019-01-01T21:34:20Z</dcterms:modified>
</cp:coreProperties>
</file>