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Q15"/>
  <c r="Q23" s="1"/>
  <c r="Q55" s="1"/>
  <c r="I7" i="18"/>
  <c r="F22" i="14"/>
  <c r="E12" i="17"/>
  <c r="F48" i="14" s="1"/>
  <c r="P41"/>
  <c r="P53" s="1"/>
  <c r="O8" i="48"/>
  <c r="O25" s="1"/>
  <c r="D8"/>
  <c r="D25" s="1"/>
  <c r="J16" i="15"/>
  <c r="J5" i="48" s="1"/>
  <c r="J22"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N20" i="14" l="1"/>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0" i="17" l="1"/>
  <c r="C12" s="1"/>
  <c r="D48" i="14" s="1"/>
  <c r="C56" i="22"/>
  <c r="C58" s="1"/>
  <c r="D44" i="14" s="1"/>
  <c r="D46" s="1"/>
  <c r="C29" i="20"/>
  <c r="C17" i="19"/>
  <c r="C19" s="1"/>
  <c r="D35" i="14" s="1"/>
  <c r="C20" i="16"/>
  <c r="C22" s="1"/>
  <c r="D39" i="14" s="1"/>
  <c r="C18" i="15"/>
  <c r="C20" s="1"/>
  <c r="D36" i="14" s="1"/>
  <c r="C16" i="22"/>
  <c r="C17" i="49"/>
  <c r="C10" i="13"/>
  <c r="C16" i="48" s="1"/>
  <c r="C24" s="1"/>
  <c r="N22" i="16"/>
  <c r="O39" i="14" s="1"/>
  <c r="O41"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28" i="48"/>
  <c r="R13" i="14"/>
  <c r="R15" s="1"/>
  <c r="F25" i="48"/>
  <c r="F31" s="1"/>
  <c r="F14"/>
  <c r="C25" l="1"/>
  <c r="C22"/>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<sst xmlns="http://schemas.openxmlformats.org/spreadsheetml/2006/main" count="2146" uniqueCount="877">
  <si>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</si>
  <si>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</si>
  <si>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</si>
  <si>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</si>
  <si>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</si>
  <si>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</si>
  <si>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</si>
  <si>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</si>
  <si>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</si>
  <si>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</si>
  <si>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</si>
  <si>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</si>
  <si>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</si>
  <si>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</si>
  <si>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</si>
  <si>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</si>
  <si>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</si>
  <si>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</si>
  <si>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</si>
  <si>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</si>
  <si>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</si>
  <si>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</si>
  <si>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</si>
  <si>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</si>
  <si>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</si>
  <si>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</si>
  <si>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</si>
  <si>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</si>
  <si>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</si>
  <si>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</si>
  <si>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</si>
  <si>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</si>
  <si>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</si>
  <si>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</si>
  <si>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</si>
  <si>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</si>
  <si>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</si>
  <si>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</si>
  <si>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</si>
  <si>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</si>
  <si>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</si>
  <si>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</si>
  <si>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</si>
  <si>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</si>
  <si>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</si>
  <si>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</si>
  <si>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</si>
  <si>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</si>
  <si>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</si>
  <si>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</si>
  <si>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</si>
  <si>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</si>
  <si>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</si>
  <si>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</si>
  <si>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</si>
  <si>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</si>
  <si>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</si>
  <si>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</si>
  <si>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</si>
  <si>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</si>
  <si>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</si>
  <si>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</si>
  <si>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</si>
  <si>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</si>
  <si>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</si>
  <si>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</si>
  <si>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</si>
  <si>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</si>
  <si>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</si>
  <si>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</si>
  <si>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</si>
  <si>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</si>
  <si>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</si>
  <si>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</si>
  <si>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</si>
  <si>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</si>
  <si>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</si>
  <si>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</si>
  <si>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</si>
  <si>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</si>
  <si>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</si>
  <si>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</si>
  <si>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</si>
  <si>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</si>
  <si>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</si>
  <si>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</si>
  <si>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</si>
  <si>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</si>
  <si>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</si>
  <si>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</si>
  <si>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</si>
  <si>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</si>
  <si>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</si>
  <si>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</si>
  <si>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</si>
  <si>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</si>
  <si>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</si>
  <si>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</si>
  <si>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</si>
  <si>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</si>
  <si>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</si>
  <si>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</si>
  <si>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</si>
  <si>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</si>
  <si>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</si>
  <si>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</si>
  <si>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</si>
  <si>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</si>
  <si>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</si>
  <si>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</si>
  <si>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</si>
  <si>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</si>
  <si>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</si>
  <si>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</si>
  <si>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</si>
  <si>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</si>
  <si>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</si>
  <si>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</si>
  <si>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</si>
  <si>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</si>
  <si>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</si>
  <si>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</si>
  <si>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</si>
  <si>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</si>
  <si>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</si>
  <si>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</si>
  <si>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</si>
  <si>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</si>
  <si>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</si>
  <si>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</si>
  <si>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</si>
  <si>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</si>
  <si>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</si>
  <si>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</si>
  <si>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</si>
  <si>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</si>
  <si>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</si>
  <si>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</si>
  <si>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</si>
  <si>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</si>
  <si>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</si>
  <si>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</si>
  <si>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</si>
  <si>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</si>
  <si>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</si>
  <si>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</si>
  <si>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</si>
  <si>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</si>
  <si>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</si>
  <si>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</si>
  <si>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</si>
  <si>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</si>
  <si>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</si>
  <si>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</si>
  <si>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</si>
  <si>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</si>
  <si>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</si>
  <si>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</si>
  <si>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</si>
  <si>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</si>
  <si>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</si>
  <si>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</si>
  <si>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</si>
  <si>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</si>
  <si>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</si>
  <si>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</si>
  <si>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</si>
  <si>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</si>
  <si>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</si>
  <si>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</si>
  <si>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</si>
  <si>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</si>
  <si>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</si>
  <si>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</si>
  <si>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</si>
  <si>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</si>
  <si>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</si>
  <si>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</si>
  <si>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</si>
  <si>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</si>
  <si>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</si>
  <si>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</si>
  <si>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</si>
  <si>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</si>
  <si>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</si>
  <si>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</si>
  <si>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</si>
  <si>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</si>
  <si>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</si>
  <si>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</si>
  <si>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</si>
  <si>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</si>
  <si>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</si>
  <si>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</si>
  <si>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</si>
  <si>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</si>
  <si>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</si>
  <si>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</si>
  <si>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</si>
  <si>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</si>
  <si>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</si>
  <si>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</si>
  <si>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</si>
  <si>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</si>
  <si>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</si>
  <si>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</si>
  <si>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</si>
  <si>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</si>
  <si>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</si>
  <si>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</si>
  <si>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</si>
  <si>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</si>
  <si>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</si>
  <si>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</si>
  <si>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</si>
  <si>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</si>
  <si>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</si>
  <si>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</si>
  <si>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</si>
  <si>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</si>
  <si>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</si>
  <si>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</si>
  <si>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</si>
  <si>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</si>
  <si>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</si>
  <si>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</si>
  <si>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</si>
  <si>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</si>
  <si>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</si>
  <si>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</si>
  <si>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</si>
  <si>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</si>
  <si>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</si>
  <si>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</si>
  <si>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</si>
  <si>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</si>
  <si>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</si>
  <si>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</si>
  <si>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</si>
  <si>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</si>
  <si>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</si>
  <si>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</si>
  <si>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</si>
  <si>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</si>
  <si>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</si>
  <si>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</si>
  <si>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</si>
  <si>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</si>
  <si>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</si>
  <si>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</si>
  <si>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</si>
  <si>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</si>
  <si>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</si>
  <si>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</si>
  <si>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</si>
  <si>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</si>
  <si>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</si>
  <si>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</si>
  <si>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</si>
  <si>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</si>
  <si>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</si>
  <si>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</si>
  <si>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</si>
  <si>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</si>
  <si>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</si>
  <si>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</si>
  <si>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</si>
  <si>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</si>
  <si>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</si>
  <si>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</si>
  <si>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</si>
  <si>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</si>
  <si>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</si>
  <si>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</si>
  <si>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</si>
  <si>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</si>
  <si>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</si>
  <si>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</si>
  <si>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</si>
  <si>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</si>
  <si>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</si>
  <si>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</si>
  <si>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</si>
  <si>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</si>
  <si>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</si>
  <si>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</si>
  <si>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</si>
  <si>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</si>
  <si>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</si>
  <si>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</si>
  <si>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</si>
  <si>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</si>
  <si>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</si>
  <si>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</si>
  <si>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</si>
  <si>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</si>
  <si>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</si>
  <si>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</si>
  <si>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</si>
  <si>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</si>
  <si>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</si>
  <si>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</si>
  <si>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</si>
  <si>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</si>
  <si>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</si>
  <si>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</si>
  <si>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</si>
  <si>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</si>
  <si>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</si>
  <si>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</si>
  <si>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</si>
  <si>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</si>
  <si>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</si>
  <si>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</si>
  <si>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</si>
  <si>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</si>
  <si>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</si>
  <si>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</si>
  <si>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</si>
  <si>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</si>
  <si>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</si>
  <si>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</si>
  <si>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</si>
  <si>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</si>
  <si>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</si>
  <si>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</si>
  <si>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</si>
  <si>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</si>
  <si>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</si>
  <si>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</si>
  <si>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</si>
  <si>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</si>
  <si>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</si>
  <si>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</si>
  <si>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</si>
  <si>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</si>
  <si>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</si>
  <si>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</si>
  <si>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</si>
  <si>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</si>
  <si>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</si>
  <si>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</si>
  <si>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</si>
  <si>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</si>
  <si>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</si>
  <si>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</si>
  <si>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</si>
  <si>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</si>
  <si>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</si>
  <si>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</si>
  <si>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</si>
  <si>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</si>
  <si>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</si>
  <si>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</si>
  <si>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</si>
  <si>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</si>
  <si>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</si>
  <si>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</si>
  <si>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</si>
  <si>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</si>
  <si>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</si>
  <si>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</si>
  <si>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</si>
  <si>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</si>
  <si>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</si>
  <si>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</si>
  <si>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</si>
  <si>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</si>
  <si>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</si>
  <si>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</si>
  <si>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</si>
  <si>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</si>
  <si>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</si>
  <si>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</si>
  <si>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</si>
  <si>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</si>
  <si>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</si>
  <si>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</si>
  <si>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</si>
  <si>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</si>
  <si>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</si>
  <si>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</si>
  <si>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</si>
  <si>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</si>
  <si>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</si>
  <si>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</si>
  <si>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</si>
  <si>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</si>
  <si>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</si>
  <si>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</si>
  <si>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</si>
  <si>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</si>
  <si>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</si>
  <si>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</si>
  <si>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</si>
  <si>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</si>
  <si>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</si>
  <si>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</si>
  <si>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</si>
  <si>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</si>
  <si>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</si>
  <si>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</si>
  <si>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</si>
  <si>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</si>
  <si>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</si>
  <si>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</si>
  <si>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</si>
  <si>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</si>
  <si>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</si>
  <si>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</si>
  <si>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</si>
  <si>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</si>
  <si>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</si>
  <si>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</si>
  <si>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</si>
  <si>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</si>
  <si>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</si>
  <si>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</si>
  <si>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</si>
  <si>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</si>
  <si>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</si>
  <si>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</si>
  <si>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</si>
  <si>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</si>
  <si>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</si>
  <si>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</si>
  <si>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</si>
  <si>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</si>
  <si>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</si>
  <si>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</si>
  <si>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</si>
  <si>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</si>
  <si>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</si>
  <si>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</si>
  <si>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</si>
  <si>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</si>
  <si>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</si>
  <si>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</si>
  <si>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</si>
  <si>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</si>
  <si>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</si>
  <si>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</si>
  <si>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</si>
  <si>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</si>
  <si>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</si>
  <si>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</si>
  <si>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</si>
  <si>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</si>
  <si>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</si>
  <si>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</si>
  <si>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</si>
  <si>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</si>
  <si>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</si>
  <si>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</si>
  <si>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</si>
  <si>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</si>
  <si>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</si>
  <si>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</si>
  <si>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</si>
  <si>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</si>
  <si>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</si>
  <si>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</si>
  <si>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</si>
  <si>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</si>
  <si>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</si>
  <si>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</si>
  <si>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</si>
  <si>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</si>
  <si>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</si>
  <si>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</si>
  <si>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</si>
  <si>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</si>
  <si>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</si>
  <si>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</si>
  <si>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</si>
  <si>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</si>
  <si>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</si>
  <si>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</si>
  <si>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</si>
  <si>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</si>
  <si>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</si>
  <si>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</si>
  <si>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</si>
  <si>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</si>
  <si>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</si>
  <si>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</si>
  <si>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</si>
  <si>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</si>
  <si>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</si>
  <si>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</si>
  <si>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</si>
  <si>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</si>
  <si>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</si>
  <si>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</si>
  <si>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</si>
  <si>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</si>
  <si>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</si>
  <si>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</si>
  <si>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</si>
  <si>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</si>
  <si>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</si>
  <si>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</si>
  <si>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</si>
  <si>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</si>
  <si>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</si>
  <si>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</si>
  <si>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</si>
  <si>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</si>
  <si>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</si>
  <si>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</si>
  <si>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</si>
  <si>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</si>
  <si>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</si>
  <si>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</si>
  <si>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</si>
  <si>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</si>
  <si>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</si>
  <si>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</si>
  <si>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</si>
  <si>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</si>
  <si>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</si>
  <si>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</si>
  <si>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</si>
  <si>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</si>
  <si>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</si>
  <si>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</si>
  <si>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</si>
  <si>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</si>
  <si>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</si>
  <si>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</si>
  <si>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</si>
  <si>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</si>
  <si>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</si>
  <si>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</si>
  <si>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</si>
  <si>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</si>
  <si>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</si>
  <si>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</si>
  <si>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</si>
  <si>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</si>
  <si>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</si>
  <si>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</si>
  <si>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</si>
  <si>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</si>
  <si>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</si>
  <si>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</si>
  <si>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</si>
  <si>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</si>
  <si>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</si>
  <si>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</si>
  <si>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</si>
  <si>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</si>
  <si>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</si>
  <si>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</si>
  <si>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</si>
  <si>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</si>
  <si>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</si>
  <si>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</si>
  <si>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</si>
  <si>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</si>
  <si>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</si>
  <si>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</si>
  <si>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</si>
  <si>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</si>
  <si>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</si>
  <si>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</si>
  <si>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</si>
  <si>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</si>
  <si>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</si>
  <si>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</si>
  <si>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</si>
  <si>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</si>
  <si>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</si>
  <si>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</si>
  <si>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</si>
  <si>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</si>
  <si>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</si>
  <si>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</si>
  <si>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</si>
  <si>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</si>
  <si>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</si>
  <si>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</si>
  <si>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</si>
  <si>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</si>
  <si>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</si>
  <si>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</si>
  <si>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</si>
  <si>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</si>
  <si>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</si>
  <si>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</si>
  <si>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</si>
  <si>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</si>
  <si>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</si>
  <si>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</si>
  <si>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</si>
  <si>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</si>
  <si>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</si>
  <si>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</si>
  <si>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</si>
  <si>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</si>
  <si>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</si>
  <si>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</si>
  <si>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</si>
  <si>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</si>
  <si>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</si>
  <si>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</si>
  <si>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</si>
  <si>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</si>
  <si>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</si>
  <si>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</si>
  <si>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</si>
  <si>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</si>
  <si>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</si>
  <si>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</si>
  <si>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</si>
  <si>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</si>
  <si>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</si>
  <si>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</si>
  <si>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</si>
  <si>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</si>
  <si>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</si>
  <si>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</si>
  <si>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</si>
  <si>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</si>
  <si>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</si>
  <si>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</si>
  <si>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</si>
  <si>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</si>
  <si>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</si>
  <si>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</si>
  <si>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</si>
  <si>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</si>
  <si>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</si>
  <si>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</si>
  <si>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</si>
  <si>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</si>
  <si>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</si>
  <si>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</si>
  <si>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</si>
  <si>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</si>
  <si>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</si>
  <si>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</si>
  <si>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</si>
  <si>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</si>
  <si>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</si>
  <si>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</si>
  <si>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</si>
  <si>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</si>
  <si>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</si>
  <si>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</si>
  <si>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</si>
  <si>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</si>
  <si>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</si>
  <si>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</si>
  <si>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</si>
  <si>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</si>
  <si>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</si>
  <si>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</si>
  <si>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</si>
  <si>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</si>
  <si>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</si>
  <si>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</si>
  <si>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</si>
  <si>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</si>
  <si>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</si>
  <si>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</si>
  <si>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</si>
  <si>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</si>
  <si>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</si>
  <si>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</si>
  <si>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</si>
  <si>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</si>
  <si>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</si>
  <si>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</si>
  <si>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</si>
  <si>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</si>
  <si>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</si>
  <si>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</si>
  <si>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</si>
  <si>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</si>
  <si>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</si>
  <si>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</si>
  <si>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</si>
  <si>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</si>
  <si>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</si>
  <si>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</si>
  <si>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</si>
  <si>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</si>
  <si>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</si>
  <si>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</si>
  <si>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</si>
  <si>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</si>
  <si>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</si>
  <si>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</si>
  <si>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</si>
  <si>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</si>
  <si>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</si>
  <si>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</si>
  <si>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</si>
  <si>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</si>
  <si>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</si>
  <si>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</si>
  <si>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</si>
  <si>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</si>
  <si>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</si>
  <si>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</si>
  <si>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</si>
  <si>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</si>
  <si>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</si>
  <si>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</si>
  <si>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</si>
  <si>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</si>
  <si>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</si>
  <si>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</si>
  <si>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</si>
  <si>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</si>
  <si>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</si>
  <si>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</si>
  <si>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</si>
  <si>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</si>
  <si>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</si>
  <si>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</si>
  <si>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</si>
  <si>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</si>
  <si>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</si>
  <si>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</si>
  <si>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</si>
  <si>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</si>
  <si>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</si>
  <si>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</si>
  <si>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</si>
  <si>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</si>
  <si>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</si>
  <si>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</si>
  <si>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</si>
  <si>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</si>
  <si>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</si>
  <si>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</si>
  <si>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</si>
  <si>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</si>
  <si>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</si>
  <si>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</si>
  <si>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</si>
  <si>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</si>
  <si>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</si>
  <si>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</si>
  <si>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</si>
  <si>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</si>
  <si>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</si>
  <si>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</si>
  <si>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</si>
  <si>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</si>
  <si>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</si>
  <si>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</si>
  <si>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</si>
  <si>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</si>
  <si>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</si>
  <si>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</si>
  <si>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</si>
  <si>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</si>
  <si>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</si>
  <si>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</si>
  <si>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</si>
  <si>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</si>
  <si>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</si>
  <si>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</si>
  <si>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</si>
  <si>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</si>
  <si>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</si>
  <si>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</si>
  <si>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</si>
  <si>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</si>
  <si>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</si>
  <si>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</si>
  <si>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</si>
  <si>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</si>
  <si>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</si>
  <si>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</si>
  <si>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</si>
  <si>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</si>
  <si>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</si>
  <si>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</si>
  <si>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</si>
  <si>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</si>
  <si>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</si>
  <si>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</si>
  <si>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</si>
  <si>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</si>
  <si>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</si>
  <si>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</si>
  <si>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</si>
  <si>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</si>
  <si>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</si>
  <si>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</si>
  <si>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</si>
  <si>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</si>
  <si>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</si>
  <si>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</si>
  <si>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</si>
  <si>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</si>
  <si>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</si>
  <si>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</si>
  <si>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</si>
  <si>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</si>
  <si>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</si>
  <si>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</si>
  <si>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</si>
  <si>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</si>
  <si>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</si>
  <si>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</si>
  <si>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</si>
  <si>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</si>
  <si>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</si>
  <si>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</si>
  <si>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</si>
  <si>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</si>
  <si>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</si>
  <si>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</si>
  <si>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</si>
  <si>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</si>
  <si>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</si>
  <si>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</si>
  <si>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</si>
  <si>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</si>
  <si>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</si>
  <si>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</si>
  <si>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</si>
  <si>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</si>
  <si>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</si>
  <si>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</si>
  <si>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</si>
  <si>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</si>
  <si>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</si>
  <si>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</si>
  <si>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</si>
  <si>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</si>
  <si>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</si>
  <si>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</si>
  <si>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</si>
  <si>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</si>
  <si>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</si>
  <si>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</si>
  <si>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</si>
  <si>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</si>
  <si>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</si>
  <si>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</si>
  <si>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</si>
  <si>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</si>
  <si>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</si>
  <si>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</si>
  <si>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</si>
  <si>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</si>
  <si>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</si>
  <si>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</si>
  <si>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</si>
  <si>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</si>
  <si>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</si>
  <si>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</si>
  <si>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</si>
  <si>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</si>
  <si>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</si>
  <si>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</si>
  <si>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</si>
  <si>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71037</t>
  </si>
  <si>
    <t>LUMMEN</t>
  </si>
  <si>
    <t>Paarden&amp;pony's 200 - 600 kg</t>
  </si>
  <si>
    <t>Paarden&amp;pony's &lt; 200 kg</t>
  </si>
  <si>
    <t>referentietaak LNE (2017); Jaarverslag De Lijn (2014)</t>
  </si>
  <si>
    <t>op basis van VEA (maart 2018) en Inventaris Hernieuwbare Energiebronnen (juni 2018)</t>
  </si>
  <si>
    <t>VEA (maart 2016)</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</si>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</sst>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136393.80210420745</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136393.80210420745</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27143.957360828896</c:v>
                </c:pt>
                <c:pt idx="1">
                  <c:v>7474.1486651932282</c:v>
                </c:pt>
                <c:pt idx="2">
                  <c:v>161.08694144690261</c:v>
                </c:pt>
                <c:pt idx="3">
                  <c:v>1520.3543587767499</c:v>
                </c:pt>
                <c:pt idx="4">
                  <c:v>44657.88738474901</c:v>
                </c:pt>
                <c:pt idx="5">
                  <c:v>97637.771410479225</c:v>
                </c:pt>
                <c:pt idx="6">
                  <c:v>552.63889048349188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87136"/>
      </c:barChart>
      <c:catAx>
        <c:axId val="180136192"/>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27143.957360828896</c:v>
                </c:pt>
                <c:pt idx="1">
                  <c:v>7474.1486651932282</c:v>
                </c:pt>
                <c:pt idx="2">
                  <c:v>161.08694144690261</c:v>
                </c:pt>
                <c:pt idx="3">
                  <c:v>1520.3543587767499</c:v>
                </c:pt>
                <c:pt idx="4">
                  <c:v>44657.88738474901</c:v>
                </c:pt>
                <c:pt idx="5">
                  <c:v>97637.771410479225</c:v>
                </c:pt>
                <c:pt idx="6">
                  <c:v>552.63889048349188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71037</v>
      </c>
      <c r="B6" s="416"/>
      <c r="C6" s="417"/>
    </row>
    <row r="7" spans="1:7" s="414" customFormat="1" ht="15.75" customHeight="1">
      <c r="A7" s="418" t="str">
        <f>txtMunicipality</f>
        <v>LUMMEN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5904</v>
      </c>
      <c r="C9" s="342">
        <v>6211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1669</v>
      </c>
    </row>
    <row r="15" spans="1:6">
      <c r="A15" s="348" t="s">
        <v>184</v>
      </c>
      <c r="B15" s="334">
        <v>701</v>
      </c>
    </row>
    <row r="16" spans="1:6">
      <c r="A16" s="348" t="s">
        <v>6</v>
      </c>
      <c r="B16" s="334">
        <v>583</v>
      </c>
    </row>
    <row r="17" spans="1:6">
      <c r="A17" s="348" t="s">
        <v>7</v>
      </c>
      <c r="B17" s="334">
        <v>215</v>
      </c>
    </row>
    <row r="18" spans="1:6">
      <c r="A18" s="348" t="s">
        <v>8</v>
      </c>
      <c r="B18" s="334">
        <v>459</v>
      </c>
    </row>
    <row r="19" spans="1:6">
      <c r="A19" s="348" t="s">
        <v>9</v>
      </c>
      <c r="B19" s="334">
        <v>432</v>
      </c>
    </row>
    <row r="20" spans="1:6">
      <c r="A20" s="348" t="s">
        <v>10</v>
      </c>
      <c r="B20" s="334">
        <v>261</v>
      </c>
    </row>
    <row r="21" spans="1:6">
      <c r="A21" s="348" t="s">
        <v>11</v>
      </c>
      <c r="B21" s="334">
        <v>5249</v>
      </c>
    </row>
    <row r="22" spans="1:6">
      <c r="A22" s="348" t="s">
        <v>12</v>
      </c>
      <c r="B22" s="334">
        <v>11933</v>
      </c>
    </row>
    <row r="23" spans="1:6">
      <c r="A23" s="348" t="s">
        <v>13</v>
      </c>
      <c r="B23" s="334">
        <v>386</v>
      </c>
    </row>
    <row r="24" spans="1:6">
      <c r="A24" s="348" t="s">
        <v>14</v>
      </c>
      <c r="B24" s="334">
        <v>43</v>
      </c>
    </row>
    <row r="25" spans="1:6">
      <c r="A25" s="348" t="s">
        <v>15</v>
      </c>
      <c r="B25" s="334">
        <v>1629</v>
      </c>
    </row>
    <row r="26" spans="1:6">
      <c r="A26" s="348" t="s">
        <v>16</v>
      </c>
      <c r="B26" s="334">
        <v>365</v>
      </c>
    </row>
    <row r="27" spans="1:6">
      <c r="A27" s="348" t="s">
        <v>17</v>
      </c>
      <c r="B27" s="334">
        <v>388</v>
      </c>
    </row>
    <row r="28" spans="1:6" s="356" customFormat="1">
      <c r="A28" s="355" t="s">
        <v>18</v>
      </c>
      <c r="B28" s="355">
        <v>128</v>
      </c>
    </row>
    <row r="29" spans="1:6">
      <c r="A29" s="355" t="s">
        <v>865</v>
      </c>
      <c r="B29" s="355">
        <v>185</v>
      </c>
      <c r="C29" s="356"/>
      <c r="D29" s="356"/>
      <c r="E29" s="356"/>
      <c r="F29" s="356"/>
    </row>
    <row r="30" spans="1:6">
      <c r="A30" s="341" t="s">
        <v>866</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22433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2155</v>
      </c>
      <c r="D39" s="334">
        <v>31898491</v>
      </c>
      <c r="E39" s="334">
        <v>5888</v>
      </c>
      <c r="F39" s="334">
        <v>21748064</v>
      </c>
    </row>
    <row r="40" spans="1:6">
      <c r="A40" s="348" t="s">
        <v>30</v>
      </c>
      <c r="B40" s="348" t="s">
        <v>29</v>
      </c>
      <c r="C40" s="334">
        <v>0</v>
      </c>
      <c r="D40" s="334">
        <v>0</v>
      </c>
      <c r="E40" s="334">
        <v>0</v>
      </c>
      <c r="F40" s="334">
        <v>0</v>
      </c>
    </row>
    <row r="41" spans="1:6">
      <c r="A41" s="348" t="s">
        <v>32</v>
      </c>
      <c r="B41" s="348" t="s">
        <v>33</v>
      </c>
      <c r="C41" s="334">
        <v>55</v>
      </c>
      <c r="D41" s="334">
        <v>1126944</v>
      </c>
      <c r="E41" s="334">
        <v>137</v>
      </c>
      <c r="F41" s="334">
        <v>2588373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23847992</v>
      </c>
      <c r="E44" s="334">
        <v>23</v>
      </c>
      <c r="F44" s="334">
        <v>12213425</v>
      </c>
    </row>
    <row r="45" spans="1:6">
      <c r="A45" s="348" t="s">
        <v>32</v>
      </c>
      <c r="B45" s="348" t="s">
        <v>37</v>
      </c>
      <c r="C45" s="334">
        <v>0</v>
      </c>
      <c r="D45" s="334">
        <v>0</v>
      </c>
      <c r="E45" s="334">
        <v>3</v>
      </c>
      <c r="F45" s="334">
        <v>409945</v>
      </c>
    </row>
    <row r="46" spans="1:6">
      <c r="A46" s="348" t="s">
        <v>32</v>
      </c>
      <c r="B46" s="348" t="s">
        <v>38</v>
      </c>
      <c r="C46" s="334">
        <v>0</v>
      </c>
      <c r="D46" s="334">
        <v>0</v>
      </c>
      <c r="E46" s="334">
        <v>0</v>
      </c>
      <c r="F46" s="334">
        <v>0</v>
      </c>
    </row>
    <row r="47" spans="1:6">
      <c r="A47" s="348" t="s">
        <v>32</v>
      </c>
      <c r="B47" s="348" t="s">
        <v>39</v>
      </c>
      <c r="C47" s="334">
        <v>9</v>
      </c>
      <c r="D47" s="334">
        <v>1899235</v>
      </c>
      <c r="E47" s="334">
        <v>5</v>
      </c>
      <c r="F47" s="334">
        <v>236554</v>
      </c>
    </row>
    <row r="48" spans="1:6">
      <c r="A48" s="348" t="s">
        <v>32</v>
      </c>
      <c r="B48" s="348" t="s">
        <v>29</v>
      </c>
      <c r="C48" s="334">
        <v>3</v>
      </c>
      <c r="D48" s="334">
        <v>443770</v>
      </c>
      <c r="E48" s="334">
        <v>5</v>
      </c>
      <c r="F48" s="334">
        <v>402017</v>
      </c>
    </row>
    <row r="49" spans="1:6">
      <c r="A49" s="348" t="s">
        <v>32</v>
      </c>
      <c r="B49" s="348" t="s">
        <v>40</v>
      </c>
      <c r="C49" s="334">
        <v>0</v>
      </c>
      <c r="D49" s="334">
        <v>0</v>
      </c>
      <c r="E49" s="334">
        <v>0</v>
      </c>
      <c r="F49" s="334">
        <v>0</v>
      </c>
    </row>
    <row r="50" spans="1:6">
      <c r="A50" s="348" t="s">
        <v>32</v>
      </c>
      <c r="B50" s="348" t="s">
        <v>41</v>
      </c>
      <c r="C50" s="334">
        <v>9</v>
      </c>
      <c r="D50" s="334">
        <v>69630900</v>
      </c>
      <c r="E50" s="334">
        <v>16</v>
      </c>
      <c r="F50" s="334">
        <v>33859621</v>
      </c>
    </row>
    <row r="51" spans="1:6">
      <c r="A51" s="348" t="s">
        <v>42</v>
      </c>
      <c r="B51" s="348" t="s">
        <v>43</v>
      </c>
      <c r="C51" s="334">
        <v>5</v>
      </c>
      <c r="D51" s="334">
        <v>1862054</v>
      </c>
      <c r="E51" s="334">
        <v>52</v>
      </c>
      <c r="F51" s="334">
        <v>1328450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77</v>
      </c>
      <c r="F54" s="334">
        <v>1037516</v>
      </c>
    </row>
    <row r="55" spans="1:6">
      <c r="A55" s="348" t="s">
        <v>46</v>
      </c>
      <c r="B55" s="348" t="s">
        <v>29</v>
      </c>
      <c r="C55" s="334">
        <v>0</v>
      </c>
      <c r="D55" s="334">
        <v>0</v>
      </c>
      <c r="E55" s="334">
        <v>0</v>
      </c>
      <c r="F55" s="334">
        <v>0</v>
      </c>
    </row>
    <row r="56" spans="1:6">
      <c r="A56" s="348" t="s">
        <v>48</v>
      </c>
      <c r="B56" s="348" t="s">
        <v>29</v>
      </c>
      <c r="C56" s="334">
        <v>36</v>
      </c>
      <c r="D56" s="334">
        <v>947299</v>
      </c>
      <c r="E56" s="334">
        <v>139</v>
      </c>
      <c r="F56" s="334">
        <v>725225</v>
      </c>
    </row>
    <row r="57" spans="1:6">
      <c r="A57" s="348" t="s">
        <v>49</v>
      </c>
      <c r="B57" s="348" t="s">
        <v>50</v>
      </c>
      <c r="C57" s="334">
        <v>25</v>
      </c>
      <c r="D57" s="334">
        <v>2511105</v>
      </c>
      <c r="E57" s="334">
        <v>90</v>
      </c>
      <c r="F57" s="334">
        <v>1328995</v>
      </c>
    </row>
    <row r="58" spans="1:6">
      <c r="A58" s="348" t="s">
        <v>49</v>
      </c>
      <c r="B58" s="348" t="s">
        <v>51</v>
      </c>
      <c r="C58" s="334">
        <v>17</v>
      </c>
      <c r="D58" s="334">
        <v>2811065</v>
      </c>
      <c r="E58" s="334">
        <v>33</v>
      </c>
      <c r="F58" s="334">
        <v>1402919</v>
      </c>
    </row>
    <row r="59" spans="1:6">
      <c r="A59" s="348" t="s">
        <v>49</v>
      </c>
      <c r="B59" s="348" t="s">
        <v>52</v>
      </c>
      <c r="C59" s="334">
        <v>55</v>
      </c>
      <c r="D59" s="334">
        <v>3554599</v>
      </c>
      <c r="E59" s="334">
        <v>154</v>
      </c>
      <c r="F59" s="334">
        <v>5112498</v>
      </c>
    </row>
    <row r="60" spans="1:6">
      <c r="A60" s="348" t="s">
        <v>49</v>
      </c>
      <c r="B60" s="348" t="s">
        <v>53</v>
      </c>
      <c r="C60" s="334">
        <v>16</v>
      </c>
      <c r="D60" s="334">
        <v>690679</v>
      </c>
      <c r="E60" s="334">
        <v>40</v>
      </c>
      <c r="F60" s="334">
        <v>1253852</v>
      </c>
    </row>
    <row r="61" spans="1:6">
      <c r="A61" s="348" t="s">
        <v>49</v>
      </c>
      <c r="B61" s="348" t="s">
        <v>54</v>
      </c>
      <c r="C61" s="334">
        <v>69</v>
      </c>
      <c r="D61" s="334">
        <v>7491966</v>
      </c>
      <c r="E61" s="334">
        <v>271</v>
      </c>
      <c r="F61" s="334">
        <v>11392805.535211267</v>
      </c>
    </row>
    <row r="62" spans="1:6">
      <c r="A62" s="348" t="s">
        <v>49</v>
      </c>
      <c r="B62" s="348" t="s">
        <v>55</v>
      </c>
      <c r="C62" s="334">
        <v>5</v>
      </c>
      <c r="D62" s="334">
        <v>601817</v>
      </c>
      <c r="E62" s="334">
        <v>14</v>
      </c>
      <c r="F62" s="334">
        <v>195797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2728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20396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57277399</v>
      </c>
      <c r="E73" s="477">
        <v>59385155.887356147</v>
      </c>
    </row>
    <row r="74" spans="1:6">
      <c r="A74" s="348" t="s">
        <v>64</v>
      </c>
      <c r="B74" s="348" t="s">
        <v>714</v>
      </c>
      <c r="C74" s="1288" t="s">
        <v>716</v>
      </c>
      <c r="D74" s="477">
        <v>681377.96104848129</v>
      </c>
      <c r="E74" s="477">
        <v>732747.49463675381</v>
      </c>
    </row>
    <row r="75" spans="1:6">
      <c r="A75" s="348" t="s">
        <v>65</v>
      </c>
      <c r="B75" s="348" t="s">
        <v>713</v>
      </c>
      <c r="C75" s="1288" t="s">
        <v>717</v>
      </c>
      <c r="D75" s="477">
        <v>32502092</v>
      </c>
      <c r="E75" s="477">
        <v>33570641.340105653</v>
      </c>
    </row>
    <row r="76" spans="1:6">
      <c r="A76" s="348" t="s">
        <v>65</v>
      </c>
      <c r="B76" s="348" t="s">
        <v>714</v>
      </c>
      <c r="C76" s="1288" t="s">
        <v>718</v>
      </c>
      <c r="D76" s="477">
        <v>70736.961048481229</v>
      </c>
      <c r="E76" s="477">
        <v>86378.482676494517</v>
      </c>
    </row>
    <row r="77" spans="1:6">
      <c r="A77" s="348" t="s">
        <v>66</v>
      </c>
      <c r="B77" s="348" t="s">
        <v>713</v>
      </c>
      <c r="C77" s="1288" t="s">
        <v>719</v>
      </c>
      <c r="D77" s="477">
        <v>307105107</v>
      </c>
      <c r="E77" s="477">
        <v>343280090.26764292</v>
      </c>
    </row>
    <row r="78" spans="1:6">
      <c r="A78" s="341" t="s">
        <v>66</v>
      </c>
      <c r="B78" s="341" t="s">
        <v>714</v>
      </c>
      <c r="C78" s="341" t="s">
        <v>720</v>
      </c>
      <c r="D78" s="1284">
        <v>44955941</v>
      </c>
      <c r="E78" s="1284">
        <v>49137756.466478124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584644.07790303754</v>
      </c>
      <c r="C83" s="477">
        <v>574677.71345497028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17957.391436674647</v>
      </c>
    </row>
    <row r="91" spans="1:6">
      <c r="A91" s="348" t="s">
        <v>68</v>
      </c>
      <c r="B91" s="334">
        <v>5062.0945456305881</v>
      </c>
    </row>
    <row r="92" spans="1:6">
      <c r="A92" s="341" t="s">
        <v>69</v>
      </c>
      <c r="B92" s="342">
        <v>5349.732783919304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103272.32051246628</v>
      </c>
      <c r="C3" s="43" t="s">
        <v>170</v>
      </c>
      <c r="D3" s="43"/>
      <c r="E3" s="154"/>
      <c r="F3" s="43"/>
      <c r="G3" s="43"/>
      <c r="H3" s="43"/>
      <c r="I3" s="43"/>
      <c r="J3" s="43"/>
      <c r="K3" s="96"/>
    </row>
    <row r="4" spans="1:11">
      <c r="A4" s="384" t="s">
        <v>171</v>
      </c>
      <c r="B4" s="49">
        <f>IF(ISERROR('SEAP template'!B69),0,'SEAP template'!B69)</f>
        <v>32014.218766224538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286.23970588235295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0.15526212747263907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322.01966911764708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4100.6250000000009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7.8529411764705875E-2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1037.5160000000001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1037.5160000000001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0.15526212747263907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161.08694144690261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21748.063999999998</v>
      </c>
      <c r="C5" s="17">
        <f>IF(ISERROR('Eigen informatie GS &amp; warmtenet'!B57),0,'Eigen informatie GS &amp; warmtenet'!B57)</f>
        <v>0</v>
      </c>
      <c r="D5" s="30">
        <f>(SUM(HH_hh_gas_kWh,HH_rest_gas_kWh)/1000)*0.902</f>
        <v>28772.438882000002</v>
      </c>
      <c r="E5" s="17">
        <f>B46*B57</f>
        <v>1796.7994424908147</v>
      </c>
      <c r="F5" s="17">
        <f>B51*B62</f>
        <v>62776.962470210179</v>
      </c>
      <c r="G5" s="18"/>
      <c r="H5" s="17"/>
      <c r="I5" s="17"/>
      <c r="J5" s="17">
        <f>B50*B61+C50*C61</f>
        <v>0</v>
      </c>
      <c r="K5" s="17"/>
      <c r="L5" s="17"/>
      <c r="M5" s="17"/>
      <c r="N5" s="17">
        <f>B48*B59+C48*C59</f>
        <v>14905.476097209181</v>
      </c>
      <c r="O5" s="17">
        <f>B69*B70*B71</f>
        <v>359.56666666666666</v>
      </c>
      <c r="P5" s="17">
        <f>B77*B78*B79/1000-B77*B78*B79/1000/B80</f>
        <v>972.4</v>
      </c>
    </row>
    <row r="6" spans="1:16">
      <c r="A6" s="16" t="s">
        <v>631</v>
      </c>
      <c r="B6" s="844">
        <f>kWh_PV_kleiner_dan_10kW</f>
        <v>5062.0945456305881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26810.158545630587</v>
      </c>
      <c r="C8" s="21">
        <f>C5</f>
        <v>0</v>
      </c>
      <c r="D8" s="21">
        <f>D5</f>
        <v>28772.438882000002</v>
      </c>
      <c r="E8" s="21">
        <f>E5</f>
        <v>1796.7994424908147</v>
      </c>
      <c r="F8" s="21">
        <f>F5</f>
        <v>62776.962470210179</v>
      </c>
      <c r="G8" s="21"/>
      <c r="H8" s="21"/>
      <c r="I8" s="21"/>
      <c r="J8" s="21">
        <f>J5</f>
        <v>0</v>
      </c>
      <c r="K8" s="21"/>
      <c r="L8" s="21">
        <f>L5</f>
        <v>0</v>
      </c>
      <c r="M8" s="21">
        <f>M5</f>
        <v>0</v>
      </c>
      <c r="N8" s="21">
        <f>N5</f>
        <v>14905.476097209181</v>
      </c>
      <c r="O8" s="21">
        <f>O5</f>
        <v>359.56666666666666</v>
      </c>
      <c r="P8" s="21">
        <f>P5</f>
        <v>972.4</v>
      </c>
    </row>
    <row r="9" spans="1:16">
      <c r="B9" s="19"/>
      <c r="C9" s="19"/>
      <c r="D9" s="258"/>
      <c r="E9" s="19"/>
      <c r="F9" s="19"/>
      <c r="G9" s="19"/>
      <c r="H9" s="19"/>
      <c r="I9" s="19"/>
      <c r="J9" s="19"/>
      <c r="K9" s="19"/>
      <c r="L9" s="19"/>
      <c r="M9" s="19"/>
      <c r="N9" s="19"/>
      <c r="O9" s="19"/>
      <c r="P9" s="19"/>
    </row>
    <row r="10" spans="1:16">
      <c r="A10" s="24" t="s">
        <v>214</v>
      </c>
      <c r="B10" s="25">
        <f ca="1">'EF ele_warmte'!B12</f>
        <v>0.15526212747263907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4162.6022536733599</v>
      </c>
      <c r="C12" s="23">
        <f ca="1">C10*C8</f>
        <v>0</v>
      </c>
      <c r="D12" s="23">
        <f>D8*D10</f>
        <v>5812.0326541640006</v>
      </c>
      <c r="E12" s="23">
        <f>E10*E8</f>
        <v>407.87347344541496</v>
      </c>
      <c r="F12" s="23">
        <f>F10*F8</f>
        <v>16761.44897954612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5904</v>
      </c>
      <c r="C28" s="36"/>
      <c r="D28" s="228"/>
    </row>
    <row r="29" spans="1:7" s="15" customFormat="1">
      <c r="A29" s="230" t="s">
        <v>741</v>
      </c>
      <c r="B29" s="37">
        <f>SUM(HH_hh_gas_aantal,HH_rest_gas_aantal)</f>
        <v>2155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2155</v>
      </c>
      <c r="C32" s="167">
        <f>IF(ISERROR(B32/SUM($B$32,$B$34,$B$35,$B$36,$B$38,$B$39)*100),0,B32/SUM($B$32,$B$34,$B$35,$B$36,$B$38,$B$39)*100)</f>
        <v>36.818725439945325</v>
      </c>
      <c r="D32" s="233"/>
      <c r="G32" s="15"/>
    </row>
    <row r="33" spans="1:7">
      <c r="A33" s="171" t="s">
        <v>72</v>
      </c>
      <c r="B33" s="34" t="s">
        <v>111</v>
      </c>
      <c r="C33" s="167"/>
      <c r="D33" s="233"/>
      <c r="G33" s="15"/>
    </row>
    <row r="34" spans="1:7">
      <c r="A34" s="171" t="s">
        <v>73</v>
      </c>
      <c r="B34" s="33">
        <f>IF((($B$28-$B$32-$B$39-$B$77-$B$38)*C20/100)&lt;0,0,($B$28-$B$32-$B$39-$B$77-$B$38)*C20/100)</f>
        <v>120.42491803278691</v>
      </c>
      <c r="C34" s="167">
        <f>IF(ISERROR(B34/SUM($B$32,$B$34,$B$35,$B$36,$B$38,$B$39)*100),0,B34/SUM($B$32,$B$34,$B$35,$B$36,$B$38,$B$39)*100)</f>
        <v>2.0574904840729014</v>
      </c>
      <c r="D34" s="233"/>
      <c r="G34" s="15"/>
    </row>
    <row r="35" spans="1:7">
      <c r="A35" s="171" t="s">
        <v>74</v>
      </c>
      <c r="B35" s="33">
        <f>IF((($B$28-$B$32-$B$39-$B$77-$B$38)*C21/100)&lt;0,0,($B$28-$B$32-$B$39-$B$77-$B$38)*C21/100)</f>
        <v>763.94557377049193</v>
      </c>
      <c r="C35" s="167">
        <f>IF(ISERROR(B35/SUM($B$32,$B$34,$B$35,$B$36,$B$38,$B$39)*100),0,B35/SUM($B$32,$B$34,$B$35,$B$36,$B$38,$B$39)*100)</f>
        <v>13.052205258337468</v>
      </c>
      <c r="D35" s="233"/>
      <c r="G35" s="15"/>
    </row>
    <row r="36" spans="1:7">
      <c r="A36" s="171" t="s">
        <v>75</v>
      </c>
      <c r="B36" s="33">
        <f>IF((($B$28-$B$32-$B$39-$B$77-$B$38)*C22/100)&lt;0,0,($B$28-$B$32-$B$39-$B$77-$B$38)*C22/100)</f>
        <v>263.42950819672132</v>
      </c>
      <c r="C36" s="167">
        <f>IF(ISERROR(B36/SUM($B$32,$B$34,$B$35,$B$36,$B$38,$B$39)*100),0,B36/SUM($B$32,$B$34,$B$35,$B$36,$B$38,$B$39)*100)</f>
        <v>4.5007604339094707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2550.1999999999998</v>
      </c>
      <c r="C39" s="167">
        <f>IF(ISERROR(B39/SUM($B$32,$B$34,$B$35,$B$36,$B$38,$B$39)*100),0,B39/SUM($B$32,$B$34,$B$35,$B$36,$B$38,$B$39)*100)</f>
        <v>43.570818383734832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2155</v>
      </c>
      <c r="C44" s="34" t="s">
        <v>111</v>
      </c>
      <c r="D44" s="174"/>
    </row>
    <row r="45" spans="1:7">
      <c r="A45" s="171" t="s">
        <v>72</v>
      </c>
      <c r="B45" s="33" t="str">
        <f t="shared" si="0"/>
        <v>-</v>
      </c>
      <c r="C45" s="34" t="s">
        <v>111</v>
      </c>
      <c r="D45" s="174"/>
    </row>
    <row r="46" spans="1:7">
      <c r="A46" s="171" t="s">
        <v>73</v>
      </c>
      <c r="B46" s="33">
        <f t="shared" si="0"/>
        <v>120.42491803278691</v>
      </c>
      <c r="C46" s="34" t="s">
        <v>111</v>
      </c>
      <c r="D46" s="174"/>
    </row>
    <row r="47" spans="1:7">
      <c r="A47" s="171" t="s">
        <v>74</v>
      </c>
      <c r="B47" s="33">
        <f t="shared" si="0"/>
        <v>763.94557377049193</v>
      </c>
      <c r="C47" s="34" t="s">
        <v>111</v>
      </c>
      <c r="D47" s="174"/>
    </row>
    <row r="48" spans="1:7">
      <c r="A48" s="171" t="s">
        <v>75</v>
      </c>
      <c r="B48" s="33">
        <f t="shared" si="0"/>
        <v>263.42950819672132</v>
      </c>
      <c r="C48" s="33">
        <f>B48*10</f>
        <v>2634.2950819672133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2550.1999999999998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20686.866535211269</v>
      </c>
      <c r="C5" s="17">
        <f>IF(ISERROR('Eigen informatie GS &amp; warmtenet'!B58),0,'Eigen informatie GS &amp; warmtenet'!B58)</f>
        <v>0</v>
      </c>
      <c r="D5" s="30">
        <f>SUM(D6:D12)</f>
        <v>15930.430361999999</v>
      </c>
      <c r="E5" s="17">
        <f>SUM(E6:E12)</f>
        <v>146.35901487481735</v>
      </c>
      <c r="F5" s="17">
        <f>SUM(F6:F12)</f>
        <v>2739.3280072576231</v>
      </c>
      <c r="G5" s="18"/>
      <c r="H5" s="17"/>
      <c r="I5" s="17"/>
      <c r="J5" s="17">
        <f>SUM(J6:J12)</f>
        <v>0</v>
      </c>
      <c r="K5" s="17"/>
      <c r="L5" s="17"/>
      <c r="M5" s="17"/>
      <c r="N5" s="17">
        <f>SUM(N6:N12)</f>
        <v>1103.5082038367455</v>
      </c>
      <c r="O5" s="17">
        <f>B38*B39*B40</f>
        <v>1.5633333333333335</v>
      </c>
      <c r="P5" s="17">
        <f>B46*B47*B48/1000-B46*B47*B48/1000/B49</f>
        <v>19.066666666666666</v>
      </c>
      <c r="R5" s="32"/>
    </row>
    <row r="6" spans="1:18">
      <c r="A6" s="32" t="s">
        <v>54</v>
      </c>
      <c r="B6" s="37">
        <f>B26</f>
        <v>11392.805535211268</v>
      </c>
      <c r="C6" s="33"/>
      <c r="D6" s="37">
        <f>IF(ISERROR(TER_kantoor_gas_kWh/1000),0,TER_kantoor_gas_kWh/1000)*0.902</f>
        <v>6757.7533320000002</v>
      </c>
      <c r="E6" s="33">
        <f>$C$26*'E Balans VL '!I12/100/3.6*1000000</f>
        <v>33.006629197094114</v>
      </c>
      <c r="F6" s="33">
        <f>$C$26*('E Balans VL '!L12+'E Balans VL '!N12)/100/3.6*1000000</f>
        <v>1289.4145836191262</v>
      </c>
      <c r="G6" s="34"/>
      <c r="H6" s="33"/>
      <c r="I6" s="33"/>
      <c r="J6" s="33">
        <f>$C$26*('E Balans VL '!D12+'E Balans VL '!E12)/100/3.6*1000000</f>
        <v>0</v>
      </c>
      <c r="K6" s="33"/>
      <c r="L6" s="33"/>
      <c r="M6" s="33"/>
      <c r="N6" s="33">
        <f>$C$26*'E Balans VL '!Y12/100/3.6*1000000</f>
        <v>114.03358881353817</v>
      </c>
      <c r="O6" s="33"/>
      <c r="P6" s="33"/>
      <c r="R6" s="32"/>
    </row>
    <row r="7" spans="1:18">
      <c r="A7" s="32" t="s">
        <v>53</v>
      </c>
      <c r="B7" s="37">
        <f t="shared" ref="B7:B12" si="0">B27</f>
        <v>1253.8520000000001</v>
      </c>
      <c r="C7" s="33"/>
      <c r="D7" s="37">
        <f>IF(ISERROR(TER_horeca_gas_kWh/1000),0,TER_horeca_gas_kWh/1000)*0.902</f>
        <v>622.99245799999994</v>
      </c>
      <c r="E7" s="33">
        <f>$C$27*'E Balans VL '!I9/100/3.6*1000000</f>
        <v>52.63320376674853</v>
      </c>
      <c r="F7" s="33">
        <f>$C$27*('E Balans VL '!L9+'E Balans VL '!N9)/100/3.6*1000000</f>
        <v>269.41581485695383</v>
      </c>
      <c r="G7" s="34"/>
      <c r="H7" s="33"/>
      <c r="I7" s="33"/>
      <c r="J7" s="33">
        <f>$C$27*('E Balans VL '!D9+'E Balans VL '!E9)/100/3.6*1000000</f>
        <v>0</v>
      </c>
      <c r="K7" s="33"/>
      <c r="L7" s="33"/>
      <c r="M7" s="33"/>
      <c r="N7" s="33">
        <f>$C$27*'E Balans VL '!Y9/100/3.6*1000000</f>
        <v>0.32310669506646722</v>
      </c>
      <c r="O7" s="33"/>
      <c r="P7" s="33"/>
      <c r="R7" s="32"/>
    </row>
    <row r="8" spans="1:18">
      <c r="A8" s="6" t="s">
        <v>52</v>
      </c>
      <c r="B8" s="37">
        <f t="shared" si="0"/>
        <v>5112.4979999999996</v>
      </c>
      <c r="C8" s="33"/>
      <c r="D8" s="37">
        <f>IF(ISERROR(TER_handel_gas_kWh/1000),0,TER_handel_gas_kWh/1000)*0.902</f>
        <v>3206.2482980000004</v>
      </c>
      <c r="E8" s="33">
        <f>$C$28*'E Balans VL '!I13/100/3.6*1000000</f>
        <v>54.912483531129936</v>
      </c>
      <c r="F8" s="33">
        <f>$C$28*('E Balans VL '!L13+'E Balans VL '!N13)/100/3.6*1000000</f>
        <v>661.85508423816589</v>
      </c>
      <c r="G8" s="34"/>
      <c r="H8" s="33"/>
      <c r="I8" s="33"/>
      <c r="J8" s="33">
        <f>$C$28*('E Balans VL '!D13+'E Balans VL '!E13)/100/3.6*1000000</f>
        <v>0</v>
      </c>
      <c r="K8" s="33"/>
      <c r="L8" s="33"/>
      <c r="M8" s="33"/>
      <c r="N8" s="33">
        <f>$C$28*'E Balans VL '!Y13/100/3.6*1000000</f>
        <v>41.472862930528308</v>
      </c>
      <c r="O8" s="33"/>
      <c r="P8" s="33"/>
      <c r="R8" s="32"/>
    </row>
    <row r="9" spans="1:18">
      <c r="A9" s="32" t="s">
        <v>51</v>
      </c>
      <c r="B9" s="37">
        <f t="shared" si="0"/>
        <v>1402.9190000000001</v>
      </c>
      <c r="C9" s="33"/>
      <c r="D9" s="37">
        <f>IF(ISERROR(TER_gezond_gas_kWh/1000),0,TER_gezond_gas_kWh/1000)*0.902</f>
        <v>2535.5806299999999</v>
      </c>
      <c r="E9" s="33">
        <f>$C$29*'E Balans VL '!I10/100/3.6*1000000</f>
        <v>1.1168142623699673</v>
      </c>
      <c r="F9" s="33">
        <f>$C$29*('E Balans VL '!L10+'E Balans VL '!N10)/100/3.6*1000000</f>
        <v>170.54507845563791</v>
      </c>
      <c r="G9" s="34"/>
      <c r="H9" s="33"/>
      <c r="I9" s="33"/>
      <c r="J9" s="33">
        <f>$C$29*('E Balans VL '!D10+'E Balans VL '!E10)/100/3.6*1000000</f>
        <v>0</v>
      </c>
      <c r="K9" s="33"/>
      <c r="L9" s="33"/>
      <c r="M9" s="33"/>
      <c r="N9" s="33">
        <f>$C$29*'E Balans VL '!Y10/100/3.6*1000000</f>
        <v>11.332408003031636</v>
      </c>
      <c r="O9" s="33"/>
      <c r="P9" s="33"/>
      <c r="R9" s="32"/>
    </row>
    <row r="10" spans="1:18">
      <c r="A10" s="32" t="s">
        <v>50</v>
      </c>
      <c r="B10" s="37">
        <f t="shared" si="0"/>
        <v>1328.9949999999999</v>
      </c>
      <c r="C10" s="33"/>
      <c r="D10" s="37">
        <f>IF(ISERROR(TER_ander_gas_kWh/1000),0,TER_ander_gas_kWh/1000)*0.902</f>
        <v>2265.0167099999999</v>
      </c>
      <c r="E10" s="33">
        <f>$C$30*'E Balans VL '!I14/100/3.6*1000000</f>
        <v>4.5545356814478115</v>
      </c>
      <c r="F10" s="33">
        <f>$C$30*('E Balans VL '!L14+'E Balans VL '!N14)/100/3.6*1000000</f>
        <v>296.84347900468174</v>
      </c>
      <c r="G10" s="34"/>
      <c r="H10" s="33"/>
      <c r="I10" s="33"/>
      <c r="J10" s="33">
        <f>$C$30*('E Balans VL '!D14+'E Balans VL '!E14)/100/3.6*1000000</f>
        <v>0</v>
      </c>
      <c r="K10" s="33"/>
      <c r="L10" s="33"/>
      <c r="M10" s="33"/>
      <c r="N10" s="33">
        <f>$C$30*'E Balans VL '!Y14/100/3.6*1000000</f>
        <v>936.15133815776846</v>
      </c>
      <c r="O10" s="33"/>
      <c r="P10" s="33"/>
      <c r="R10" s="32"/>
    </row>
    <row r="11" spans="1:18">
      <c r="A11" s="32" t="s">
        <v>55</v>
      </c>
      <c r="B11" s="37">
        <f t="shared" si="0"/>
        <v>195.797</v>
      </c>
      <c r="C11" s="33"/>
      <c r="D11" s="37">
        <f>IF(ISERROR(TER_onderwijs_gas_kWh/1000),0,TER_onderwijs_gas_kWh/1000)*0.902</f>
        <v>542.83893399999999</v>
      </c>
      <c r="E11" s="33">
        <f>$C$31*'E Balans VL '!I11/100/3.6*1000000</f>
        <v>0.13534843602697422</v>
      </c>
      <c r="F11" s="33">
        <f>$C$31*('E Balans VL '!L11+'E Balans VL '!N11)/100/3.6*1000000</f>
        <v>51.25396708305729</v>
      </c>
      <c r="G11" s="34"/>
      <c r="H11" s="33"/>
      <c r="I11" s="33"/>
      <c r="J11" s="33">
        <f>$C$31*('E Balans VL '!D11+'E Balans VL '!E11)/100/3.6*1000000</f>
        <v>0</v>
      </c>
      <c r="K11" s="33"/>
      <c r="L11" s="33"/>
      <c r="M11" s="33"/>
      <c r="N11" s="33">
        <f>$C$31*'E Balans VL '!Y11/100/3.6*1000000</f>
        <v>0.19489923681245938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24331.866535211269</v>
      </c>
      <c r="C16" s="21">
        <f t="shared" ca="1" si="1"/>
        <v>4100.6250000000009</v>
      </c>
      <c r="D16" s="21">
        <f t="shared" ca="1" si="1"/>
        <v>15930.430361999999</v>
      </c>
      <c r="E16" s="21">
        <f t="shared" si="1"/>
        <v>146.35901487481735</v>
      </c>
      <c r="F16" s="21">
        <f t="shared" ca="1" si="1"/>
        <v>461.20300725762309</v>
      </c>
      <c r="G16" s="21">
        <f t="shared" si="1"/>
        <v>0</v>
      </c>
      <c r="H16" s="21">
        <f t="shared" si="1"/>
        <v>0</v>
      </c>
      <c r="I16" s="21">
        <f t="shared" si="1"/>
        <v>0</v>
      </c>
      <c r="J16" s="21">
        <f t="shared" si="1"/>
        <v>0</v>
      </c>
      <c r="K16" s="21">
        <f t="shared" si="1"/>
        <v>0</v>
      </c>
      <c r="L16" s="21">
        <f t="shared" ca="1" si="1"/>
        <v>0</v>
      </c>
      <c r="M16" s="21">
        <f t="shared" si="1"/>
        <v>0</v>
      </c>
      <c r="N16" s="21">
        <f t="shared" ca="1" si="1"/>
        <v>1103.5082038367455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0.15526212747263907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3777.8173636372126</v>
      </c>
      <c r="C20" s="23">
        <f t="shared" ref="C20:P20" ca="1" si="2">C16*C18</f>
        <v>322.01966911764708</v>
      </c>
      <c r="D20" s="23">
        <f t="shared" ca="1" si="2"/>
        <v>3217.9469331240002</v>
      </c>
      <c r="E20" s="23">
        <f t="shared" si="2"/>
        <v>33.22349637658354</v>
      </c>
      <c r="F20" s="23">
        <f t="shared" ca="1" si="2"/>
        <v>123.14120293778537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11392.805535211268</v>
      </c>
      <c r="C26" s="39">
        <f>IF(ISERROR(B26*3.6/1000000/'E Balans VL '!Z12*100),0,B26*3.6/1000000/'E Balans VL '!Z12*100)</f>
        <v>0.25025614498306209</v>
      </c>
      <c r="D26" s="237" t="s">
        <v>692</v>
      </c>
      <c r="F26" s="6"/>
    </row>
    <row r="27" spans="1:18">
      <c r="A27" s="231" t="s">
        <v>53</v>
      </c>
      <c r="B27" s="33">
        <f>IF(ISERROR(TER_horeca_ele_kWh/1000),0,TER_horeca_ele_kWh/1000)</f>
        <v>1253.8520000000001</v>
      </c>
      <c r="C27" s="39">
        <f>IF(ISERROR(B27*3.6/1000000/'E Balans VL '!Z9*100),0,B27*3.6/1000000/'E Balans VL '!Z9*100)</f>
        <v>0.10075950674435731</v>
      </c>
      <c r="D27" s="237" t="s">
        <v>692</v>
      </c>
      <c r="F27" s="6"/>
    </row>
    <row r="28" spans="1:18">
      <c r="A28" s="171" t="s">
        <v>52</v>
      </c>
      <c r="B28" s="33">
        <f>IF(ISERROR(TER_handel_ele_kWh/1000),0,TER_handel_ele_kWh/1000)</f>
        <v>5112.4979999999996</v>
      </c>
      <c r="C28" s="39">
        <f>IF(ISERROR(B28*3.6/1000000/'E Balans VL '!Z13*100),0,B28*3.6/1000000/'E Balans VL '!Z13*100)</f>
        <v>0.15117299419390445</v>
      </c>
      <c r="D28" s="237" t="s">
        <v>692</v>
      </c>
      <c r="F28" s="6"/>
    </row>
    <row r="29" spans="1:18">
      <c r="A29" s="231" t="s">
        <v>51</v>
      </c>
      <c r="B29" s="33">
        <f>IF(ISERROR(TER_gezond_ele_kWh/1000),0,TER_gezond_ele_kWh/1000)</f>
        <v>1402.9190000000001</v>
      </c>
      <c r="C29" s="39">
        <f>IF(ISERROR(B29*3.6/1000000/'E Balans VL '!Z10*100),0,B29*3.6/1000000/'E Balans VL '!Z10*100)</f>
        <v>0.15807275112423658</v>
      </c>
      <c r="D29" s="237" t="s">
        <v>692</v>
      </c>
      <c r="F29" s="6"/>
    </row>
    <row r="30" spans="1:18">
      <c r="A30" s="231" t="s">
        <v>50</v>
      </c>
      <c r="B30" s="33">
        <f>IF(ISERROR(TER_ander_ele_kWh/1000),0,TER_ander_ele_kWh/1000)</f>
        <v>1328.9949999999999</v>
      </c>
      <c r="C30" s="39">
        <f>IF(ISERROR(B30*3.6/1000000/'E Balans VL '!Z14*100),0,B30*3.6/1000000/'E Balans VL '!Z14*100)</f>
        <v>0.10050962003566549</v>
      </c>
      <c r="D30" s="237" t="s">
        <v>692</v>
      </c>
      <c r="F30" s="6"/>
    </row>
    <row r="31" spans="1:18">
      <c r="A31" s="231" t="s">
        <v>55</v>
      </c>
      <c r="B31" s="33">
        <f>IF(ISERROR(TER_onderwijs_ele_kWh/1000),0,TER_onderwijs_ele_kWh/1000)</f>
        <v>195.797</v>
      </c>
      <c r="C31" s="39">
        <f>IF(ISERROR(B31*3.6/1000000/'E Balans VL '!Z11*100),0,B31*3.6/1000000/'E Balans VL '!Z11*100)</f>
        <v>4.0642911967773747E-2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49709.93499999999</v>
      </c>
      <c r="C5" s="17">
        <f>IF(ISERROR('Eigen informatie GS &amp; warmtenet'!B59),0,'Eigen informatie GS &amp; warmtenet'!B59)</f>
        <v>0</v>
      </c>
      <c r="D5" s="30">
        <f>SUM(D6:D15)</f>
        <v>87447.854582000014</v>
      </c>
      <c r="E5" s="17">
        <f>SUM(E6:E15)</f>
        <v>1384.7191896083264</v>
      </c>
      <c r="F5" s="17">
        <f>SUM(F6:F15)</f>
        <v>69937.586084974013</v>
      </c>
      <c r="G5" s="18"/>
      <c r="H5" s="17"/>
      <c r="I5" s="17"/>
      <c r="J5" s="17">
        <f>SUM(J6:J15)</f>
        <v>812.66597126907948</v>
      </c>
      <c r="K5" s="17"/>
      <c r="L5" s="17"/>
      <c r="M5" s="17"/>
      <c r="N5" s="17">
        <f>SUM(N6:N15)</f>
        <v>19168.094947636833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12213.424999999999</v>
      </c>
      <c r="C8" s="33"/>
      <c r="D8" s="37">
        <f>IF( ISERROR(IND_metaal_Gas_kWH/1000),0,IND_metaal_Gas_kWH/1000)*0.902</f>
        <v>21510.888783999999</v>
      </c>
      <c r="E8" s="33">
        <f>C30*'E Balans VL '!I18/100/3.6*1000000</f>
        <v>305.65928167827485</v>
      </c>
      <c r="F8" s="33">
        <f>C30*'E Balans VL '!L18/100/3.6*1000000+C30*'E Balans VL '!N18/100/3.6*1000000</f>
        <v>3827.7481477003375</v>
      </c>
      <c r="G8" s="34"/>
      <c r="H8" s="33"/>
      <c r="I8" s="33"/>
      <c r="J8" s="40">
        <f>C30*'E Balans VL '!D18/100/3.6*1000000+C30*'E Balans VL '!E18/100/3.6*1000000</f>
        <v>0</v>
      </c>
      <c r="K8" s="33"/>
      <c r="L8" s="33"/>
      <c r="M8" s="33"/>
      <c r="N8" s="33">
        <f>C30*'E Balans VL '!Y18/100/3.6*1000000</f>
        <v>306.83293260183996</v>
      </c>
      <c r="O8" s="33"/>
      <c r="P8" s="33"/>
      <c r="R8" s="32"/>
    </row>
    <row r="9" spans="1:18">
      <c r="A9" s="6" t="s">
        <v>33</v>
      </c>
      <c r="B9" s="37">
        <f t="shared" si="0"/>
        <v>2588.373</v>
      </c>
      <c r="C9" s="33"/>
      <c r="D9" s="37">
        <f>IF( ISERROR(IND_andere_gas_kWh/1000),0,IND_andere_gas_kWh/1000)*0.902</f>
        <v>1016.5034879999999</v>
      </c>
      <c r="E9" s="33">
        <f>C31*'E Balans VL '!I19/100/3.6*1000000</f>
        <v>711.69641273750653</v>
      </c>
      <c r="F9" s="33">
        <f>C31*'E Balans VL '!L19/100/3.6*1000000+C31*'E Balans VL '!N19/100/3.6*1000000</f>
        <v>2040.0883332404646</v>
      </c>
      <c r="G9" s="34"/>
      <c r="H9" s="33"/>
      <c r="I9" s="33"/>
      <c r="J9" s="40">
        <f>C31*'E Balans VL '!D19/100/3.6*1000000+C31*'E Balans VL '!E19/100/3.6*1000000</f>
        <v>0</v>
      </c>
      <c r="K9" s="33"/>
      <c r="L9" s="33"/>
      <c r="M9" s="33"/>
      <c r="N9" s="33">
        <f>C31*'E Balans VL '!Y19/100/3.6*1000000</f>
        <v>837.92466171431954</v>
      </c>
      <c r="O9" s="33"/>
      <c r="P9" s="33"/>
      <c r="R9" s="32"/>
    </row>
    <row r="10" spans="1:18">
      <c r="A10" s="6" t="s">
        <v>41</v>
      </c>
      <c r="B10" s="37">
        <f t="shared" si="0"/>
        <v>33859.620999999999</v>
      </c>
      <c r="C10" s="33"/>
      <c r="D10" s="37">
        <f>IF( ISERROR(IND_voed_gas_kWh/1000),0,IND_voed_gas_kWh/1000)*0.902</f>
        <v>62807.071799999998</v>
      </c>
      <c r="E10" s="33">
        <f>C32*'E Balans VL '!I20/100/3.6*1000000</f>
        <v>345.18018272335451</v>
      </c>
      <c r="F10" s="33">
        <f>C32*'E Balans VL '!L20/100/3.6*1000000+C32*'E Balans VL '!N20/100/3.6*1000000</f>
        <v>63960.612297513144</v>
      </c>
      <c r="G10" s="34"/>
      <c r="H10" s="33"/>
      <c r="I10" s="33"/>
      <c r="J10" s="40">
        <f>C32*'E Balans VL '!D20/100/3.6*1000000+C32*'E Balans VL '!E20/100/3.6*1000000</f>
        <v>810.37151971149854</v>
      </c>
      <c r="K10" s="33"/>
      <c r="L10" s="33"/>
      <c r="M10" s="33"/>
      <c r="N10" s="33">
        <f>C32*'E Balans VL '!Y20/100/3.6*1000000</f>
        <v>17847.920417088884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409.94499999999999</v>
      </c>
      <c r="C12" s="33"/>
      <c r="D12" s="37">
        <f>IF( ISERROR(IND_min_gas_kWh/1000),0,IND_min_gas_kWh/1000)*0.902</f>
        <v>0</v>
      </c>
      <c r="E12" s="33">
        <f>C34*'E Balans VL '!I22/100/3.6*1000000</f>
        <v>1.2415379651769343</v>
      </c>
      <c r="F12" s="33">
        <f>C34*'E Balans VL '!L22/100/3.6*1000000+C34*'E Balans VL '!N22/100/3.6*1000000</f>
        <v>12.811133694517563</v>
      </c>
      <c r="G12" s="34"/>
      <c r="H12" s="33"/>
      <c r="I12" s="33"/>
      <c r="J12" s="40">
        <f>C34*'E Balans VL '!D22/100/3.6*1000000+C34*'E Balans VL '!E22/100/3.6*1000000</f>
        <v>0.60785743189930186</v>
      </c>
      <c r="K12" s="33"/>
      <c r="L12" s="33"/>
      <c r="M12" s="33"/>
      <c r="N12" s="33">
        <f>C34*'E Balans VL '!Y22/100/3.6*1000000</f>
        <v>0</v>
      </c>
      <c r="O12" s="33"/>
      <c r="P12" s="33"/>
      <c r="R12" s="32"/>
    </row>
    <row r="13" spans="1:18">
      <c r="A13" s="6" t="s">
        <v>39</v>
      </c>
      <c r="B13" s="37">
        <f t="shared" si="0"/>
        <v>236.554</v>
      </c>
      <c r="C13" s="33"/>
      <c r="D13" s="37">
        <f>IF( ISERROR(IND_papier_gas_kWh/1000),0,IND_papier_gas_kWh/1000)*0.902</f>
        <v>1713.10997</v>
      </c>
      <c r="E13" s="33">
        <f>C35*'E Balans VL '!I23/100/3.6*1000000</f>
        <v>0.48991930101052111</v>
      </c>
      <c r="F13" s="33">
        <f>C35*'E Balans VL '!L23/100/3.6*1000000+C35*'E Balans VL '!N23/100/3.6*1000000</f>
        <v>4.6913729514687947</v>
      </c>
      <c r="G13" s="34"/>
      <c r="H13" s="33"/>
      <c r="I13" s="33"/>
      <c r="J13" s="40">
        <f>C35*'E Balans VL '!D23/100/3.6*1000000+C35*'E Balans VL '!E23/100/3.6*1000000</f>
        <v>0</v>
      </c>
      <c r="K13" s="33"/>
      <c r="L13" s="33"/>
      <c r="M13" s="33"/>
      <c r="N13" s="33">
        <f>C35*'E Balans VL '!Y23/100/3.6*1000000</f>
        <v>99.8844223514443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402.017</v>
      </c>
      <c r="C15" s="33"/>
      <c r="D15" s="37">
        <f>IF( ISERROR(IND_rest_gas_kWh/1000),0,IND_rest_gas_kWh/1000)*0.902</f>
        <v>400.28053999999997</v>
      </c>
      <c r="E15" s="33">
        <f>C37*'E Balans VL '!I15/100/3.6*1000000</f>
        <v>20.451855203002872</v>
      </c>
      <c r="F15" s="33">
        <f>C37*'E Balans VL '!L15/100/3.6*1000000+C37*'E Balans VL '!N15/100/3.6*1000000</f>
        <v>91.634799874075199</v>
      </c>
      <c r="G15" s="34"/>
      <c r="H15" s="33"/>
      <c r="I15" s="33"/>
      <c r="J15" s="40">
        <f>C37*'E Balans VL '!D15/100/3.6*1000000+C37*'E Balans VL '!E15/100/3.6*1000000</f>
        <v>1.6865941256816259</v>
      </c>
      <c r="K15" s="33"/>
      <c r="L15" s="33"/>
      <c r="M15" s="33"/>
      <c r="N15" s="33">
        <f>C37*'E Balans VL '!Y15/100/3.6*1000000</f>
        <v>75.532513880344681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49709.93499999999</v>
      </c>
      <c r="C18" s="21">
        <f>C5+C16</f>
        <v>0</v>
      </c>
      <c r="D18" s="21">
        <f>MAX((D5+D16),0)</f>
        <v>87447.854582000014</v>
      </c>
      <c r="E18" s="21">
        <f>MAX((E5+E16),0)</f>
        <v>1384.7191896083264</v>
      </c>
      <c r="F18" s="21">
        <f>MAX((F5+F16),0)</f>
        <v>69937.586084974013</v>
      </c>
      <c r="G18" s="21"/>
      <c r="H18" s="21"/>
      <c r="I18" s="21"/>
      <c r="J18" s="21">
        <f>MAX((J5+J16),0)</f>
        <v>812.66597126907948</v>
      </c>
      <c r="K18" s="21"/>
      <c r="L18" s="21">
        <f>MAX((L5+L16),0)</f>
        <v>0</v>
      </c>
      <c r="M18" s="21"/>
      <c r="N18" s="21">
        <f>MAX((N5+N16),0)</f>
        <v>19168.094947636833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0.15526212747263907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7718.0702646266009</v>
      </c>
      <c r="C22" s="23">
        <f ca="1">C18*C20</f>
        <v>0</v>
      </c>
      <c r="D22" s="23">
        <f>D18*D20</f>
        <v>17664.466625564004</v>
      </c>
      <c r="E22" s="23">
        <f>E18*E20</f>
        <v>314.33125604109011</v>
      </c>
      <c r="F22" s="23">
        <f>F18*F20</f>
        <v>18673.335484688061</v>
      </c>
      <c r="G22" s="23"/>
      <c r="H22" s="23"/>
      <c r="I22" s="23"/>
      <c r="J22" s="23">
        <f>J18*J20</f>
        <v>287.6837538292541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12213.424999999999</v>
      </c>
      <c r="C30" s="39">
        <f>IF(ISERROR(B30*3.6/1000000/'E Balans VL '!Z18*100),0,B30*3.6/1000000/'E Balans VL '!Z18*100)</f>
        <v>1.7094724831154353</v>
      </c>
      <c r="D30" s="237" t="s">
        <v>692</v>
      </c>
    </row>
    <row r="31" spans="1:18">
      <c r="A31" s="6" t="s">
        <v>33</v>
      </c>
      <c r="B31" s="37">
        <f>IF( ISERROR(IND_ander_ele_kWh/1000),0,IND_ander_ele_kWh/1000)</f>
        <v>2588.373</v>
      </c>
      <c r="C31" s="39">
        <f>IF(ISERROR(B31*3.6/1000000/'E Balans VL '!Z19*100),0,B31*3.6/1000000/'E Balans VL '!Z19*100)</f>
        <v>0.11329266631624328</v>
      </c>
      <c r="D31" s="237" t="s">
        <v>692</v>
      </c>
    </row>
    <row r="32" spans="1:18">
      <c r="A32" s="171" t="s">
        <v>41</v>
      </c>
      <c r="B32" s="37">
        <f>IF( ISERROR(IND_voed_ele_kWh/1000),0,IND_voed_ele_kWh/1000)</f>
        <v>33859.620999999999</v>
      </c>
      <c r="C32" s="39">
        <f>IF(ISERROR(B32*3.6/1000000/'E Balans VL '!Z20*100),0,B32*3.6/1000000/'E Balans VL '!Z20*100)</f>
        <v>8.3825177370492714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409.94499999999999</v>
      </c>
      <c r="C34" s="39">
        <f>IF(ISERROR(B34*3.6/1000000/'E Balans VL '!Z22*100),0,B34*3.6/1000000/'E Balans VL '!Z22*100)</f>
        <v>1.1632566614286832E-2</v>
      </c>
      <c r="D34" s="237" t="s">
        <v>692</v>
      </c>
    </row>
    <row r="35" spans="1:5">
      <c r="A35" s="171" t="s">
        <v>39</v>
      </c>
      <c r="B35" s="37">
        <f>IF( ISERROR(IND_papier_ele_kWh/1000),0,IND_papier_ele_kWh/1000)</f>
        <v>236.554</v>
      </c>
      <c r="C35" s="39">
        <f>IF(ISERROR(B35*3.6/1000000/'E Balans VL '!Z22*100),0,B35*3.6/1000000/'E Balans VL '!Z22*100)</f>
        <v>6.712437431548153E-3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402.017</v>
      </c>
      <c r="C37" s="39">
        <f>IF(ISERROR(B37*3.6/1000000/'E Balans VL '!Z15*100),0,B37*3.6/1000000/'E Balans VL '!Z15*100)</f>
        <v>2.980887226777034E-3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1328.45</v>
      </c>
      <c r="C5" s="17">
        <f>'Eigen informatie GS &amp; warmtenet'!B60</f>
        <v>0</v>
      </c>
      <c r="D5" s="30">
        <f>IF(ISERROR(SUM(LB_lb_gas_kWh,LB_rest_gas_kWh,onbekend_gas_kWh)/1000),0,SUM(LB_lb_gas_kWh,LB_rest_gas_kWh,onbekend_gas_kWh)/1000)*0.902</f>
        <v>1679.5727080000001</v>
      </c>
      <c r="E5" s="17">
        <f>B17*'E Balans VL '!I25/3.6*1000000/100</f>
        <v>12.304660306005911</v>
      </c>
      <c r="F5" s="17">
        <f>B17*('E Balans VL '!L25/3.6*1000000+'E Balans VL '!N25/3.6*1000000)/100</f>
        <v>3370.5307194652951</v>
      </c>
      <c r="G5" s="18"/>
      <c r="H5" s="17"/>
      <c r="I5" s="17"/>
      <c r="J5" s="17">
        <f>('E Balans VL '!D25+'E Balans VL '!E25)/3.6*1000000*landbouw!B17/100</f>
        <v>203.66621054526979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1328.45</v>
      </c>
      <c r="C8" s="21">
        <f>C5+C6</f>
        <v>0</v>
      </c>
      <c r="D8" s="21">
        <f>MAX((D5+D6),0)</f>
        <v>1679.5727080000001</v>
      </c>
      <c r="E8" s="21">
        <f>MAX((E5+E6),0)</f>
        <v>12.304660306005911</v>
      </c>
      <c r="F8" s="21">
        <f>MAX((F5+F6),0)</f>
        <v>3370.5307194652951</v>
      </c>
      <c r="G8" s="21"/>
      <c r="H8" s="21"/>
      <c r="I8" s="21"/>
      <c r="J8" s="21">
        <f>MAX((J5+J6),0)</f>
        <v>203.66621054526979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0.15526212747263907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206.25797324102737</v>
      </c>
      <c r="C12" s="23">
        <f ca="1">C8*C10</f>
        <v>0</v>
      </c>
      <c r="D12" s="23">
        <f>D8*D10</f>
        <v>339.27368701600005</v>
      </c>
      <c r="E12" s="23">
        <f>E8*E10</f>
        <v>2.793157889463342</v>
      </c>
      <c r="F12" s="23">
        <f>F8*F10</f>
        <v>899.93170209723382</v>
      </c>
      <c r="G12" s="23"/>
      <c r="H12" s="23"/>
      <c r="I12" s="23"/>
      <c r="J12" s="23">
        <f>J8*J10</f>
        <v>72.097838533025509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0.18887742199118587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191.77207181959685</v>
      </c>
      <c r="C26" s="247">
        <f>B26*'GWP N2O_CH4'!B5</f>
        <v>4027.2135082115337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119.74003837525581</v>
      </c>
      <c r="C27" s="247">
        <f>B27*'GWP N2O_CH4'!B5</f>
        <v>2514.5408058803719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3.069170661180479</v>
      </c>
      <c r="C28" s="247">
        <f>B28*'GWP N2O_CH4'!B4</f>
        <v>951.44290496594851</v>
      </c>
      <c r="D28" s="50"/>
    </row>
    <row r="29" spans="1:4">
      <c r="A29" s="41" t="s">
        <v>277</v>
      </c>
      <c r="B29" s="247">
        <f>B34*'ha_N2O bodem landbouw'!B4</f>
        <v>11.048424749326673</v>
      </c>
      <c r="C29" s="247">
        <f>B29*'GWP N2O_CH4'!B4</f>
        <v>3425.0116722912685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2.4779670277461042E-3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1.9581995384795328E-4</v>
      </c>
      <c r="C5" s="464" t="s">
        <v>211</v>
      </c>
      <c r="D5" s="449">
        <f>SUM(D6:D11)</f>
        <v>4.9846733040757396E-4</v>
      </c>
      <c r="E5" s="449">
        <f>SUM(E6:E11)</f>
        <v>3.8032086376650963E-3</v>
      </c>
      <c r="F5" s="462" t="s">
        <v>211</v>
      </c>
      <c r="G5" s="449">
        <f>SUM(G6:G11)</f>
        <v>1.1306479861726448</v>
      </c>
      <c r="H5" s="449">
        <f>SUM(H6:H11)</f>
        <v>0.19525519110642853</v>
      </c>
      <c r="I5" s="464" t="s">
        <v>211</v>
      </c>
      <c r="J5" s="464" t="s">
        <v>211</v>
      </c>
      <c r="K5" s="464" t="s">
        <v>211</v>
      </c>
      <c r="L5" s="464" t="s">
        <v>211</v>
      </c>
      <c r="M5" s="449">
        <f>SUM(M6:M11)</f>
        <v>7.1413489379874656E-2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2.8260249163689657E-5</v>
      </c>
      <c r="C6" s="450"/>
      <c r="D6" s="963">
        <f>vkm_2011_GW_PW*SUMIFS(TableVerdeelsleutelVkm[CNG],TableVerdeelsleutelVkm[Voertuigtype],"Lichte voertuigen")*SUMIFS(TableECFTransport[EnergieConsumptieFactor (PJ per km)],TableECFTransport[Index],CONCATENATE($A6,"_CNG_CNG"))</f>
        <v>6.5369067640161447E-5</v>
      </c>
      <c r="E6" s="963">
        <f>vkm_2011_GW_PW*SUMIFS(TableVerdeelsleutelVkm[LPG],TableVerdeelsleutelVkm[Voertuigtype],"Lichte voertuigen")*SUMIFS(TableECFTransport[EnergieConsumptieFactor (PJ per km)],TableECFTransport[Index],CONCATENATE($A6,"_LPG_LPG"))</f>
        <v>4.2564389319851305E-4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8.8424369783582937E-2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2.4925002497794325E-2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5.8822448259876177E-3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6.3564690237573416E-3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2.1737969672701332E-6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3.6775776312588309E-4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1.6036294145639612E-5</v>
      </c>
      <c r="C8" s="450"/>
      <c r="D8" s="452">
        <f>vkm_2011_NGW_PW*SUMIFS(TableVerdeelsleutelVkm[CNG],TableVerdeelsleutelVkm[Voertuigtype],"Lichte voertuigen")*SUMIFS(TableECFTransport[EnergieConsumptieFactor (PJ per km)],TableECFTransport[Index],CONCATENATE($A8,"_CNG_CNG"))</f>
        <v>6.5607939443457458E-5</v>
      </c>
      <c r="E8" s="452">
        <f>vkm_2011_NGW_PW*SUMIFS(TableVerdeelsleutelVkm[LPG],TableVerdeelsleutelVkm[Voertuigtype],"Lichte voertuigen")*SUMIFS(TableECFTransport[EnergieConsumptieFactor (PJ per km)],TableECFTransport[Index],CONCATENATE($A8,"_LPG_LPG"))</f>
        <v>3.9426049247460202E-4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7.6564808444464991E-2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2.4188787252548825E-2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5.1735621982772805E-3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8.418514034173809E-4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2.7241330768428109E-7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4.8705398819783149E-5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1.5152341053862402E-4</v>
      </c>
      <c r="C10" s="450"/>
      <c r="D10" s="452">
        <f>vkm_2011_SW_PW*SUMIFS(TableVerdeelsleutelVkm[CNG],TableVerdeelsleutelVkm[Voertuigtype],"Lichte voertuigen")*SUMIFS(TableECFTransport[EnergieConsumptieFactor (PJ per km)],TableECFTransport[Index],CONCATENATE($A10,"_CNG_CNG"))</f>
        <v>3.6749032332395506E-4</v>
      </c>
      <c r="E10" s="452">
        <f>vkm_2011_SW_PW*SUMIFS(TableVerdeelsleutelVkm[LPG],TableVerdeelsleutelVkm[Voertuigtype],"Lichte voertuigen")*SUMIFS(TableECFTransport[EnergieConsumptieFactor (PJ per km)],TableECFTransport[Index],CONCATENATE($A10,"_LPG_LPG"))</f>
        <v>2.9833042519919811E-3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0.55796355320081259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0.14599134708950576</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3.6769873702184153E-2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0.40049693431660965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1.4760805630466988E-4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2.3171345491479933E-2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54.394431624431462</v>
      </c>
      <c r="C14" s="21"/>
      <c r="D14" s="21">
        <f t="shared" ref="D14:M14" si="0">((D5)*10^9/3600)+D12</f>
        <v>138.46314733543721</v>
      </c>
      <c r="E14" s="21">
        <f t="shared" si="0"/>
        <v>1056.4468437958601</v>
      </c>
      <c r="F14" s="21"/>
      <c r="G14" s="21">
        <f t="shared" si="0"/>
        <v>314068.88504795689</v>
      </c>
      <c r="H14" s="21">
        <f t="shared" si="0"/>
        <v>54237.553085119034</v>
      </c>
      <c r="I14" s="21"/>
      <c r="J14" s="21"/>
      <c r="K14" s="21"/>
      <c r="L14" s="21"/>
      <c r="M14" s="21">
        <f t="shared" si="0"/>
        <v>19837.080383298518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0.15526212747263907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8.4453951766742268</v>
      </c>
      <c r="C18" s="23"/>
      <c r="D18" s="23">
        <f t="shared" ref="D18:M18" si="1">D14*D16</f>
        <v>27.969555761758318</v>
      </c>
      <c r="E18" s="23">
        <f t="shared" si="1"/>
        <v>239.81343354166026</v>
      </c>
      <c r="F18" s="23"/>
      <c r="G18" s="23">
        <f t="shared" si="1"/>
        <v>83856.39230780449</v>
      </c>
      <c r="H18" s="23">
        <f t="shared" si="1"/>
        <v>13505.15071819464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7.4513108829234844E-3</v>
      </c>
      <c r="H50" s="321">
        <f t="shared" si="2"/>
        <v>0</v>
      </c>
      <c r="I50" s="321">
        <f t="shared" si="2"/>
        <v>0</v>
      </c>
      <c r="J50" s="321">
        <f t="shared" si="2"/>
        <v>0</v>
      </c>
      <c r="K50" s="321">
        <f t="shared" si="2"/>
        <v>0</v>
      </c>
      <c r="L50" s="321">
        <f t="shared" si="2"/>
        <v>0</v>
      </c>
      <c r="M50" s="321">
        <f t="shared" si="2"/>
        <v>4.2492653790849943E-4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7.4513108829234844E-3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4.2492653790849943E-4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2069.808578589857</v>
      </c>
      <c r="H54" s="21">
        <f t="shared" si="3"/>
        <v>0</v>
      </c>
      <c r="I54" s="21">
        <f t="shared" si="3"/>
        <v>0</v>
      </c>
      <c r="J54" s="21">
        <f t="shared" si="3"/>
        <v>0</v>
      </c>
      <c r="K54" s="21">
        <f t="shared" si="3"/>
        <v>0</v>
      </c>
      <c r="L54" s="21">
        <f t="shared" si="3"/>
        <v>0</v>
      </c>
      <c r="M54" s="21">
        <f t="shared" si="3"/>
        <v>118.03514941902762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0.15526212747263907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552.63889048349188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17957.391436674647</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10411.827329549891</v>
      </c>
      <c r="C6" s="1223"/>
      <c r="D6" s="1226"/>
      <c r="E6" s="1226"/>
      <c r="F6" s="1229"/>
      <c r="G6" s="1232"/>
      <c r="H6" s="1220"/>
      <c r="I6" s="1226"/>
      <c r="J6" s="1226"/>
      <c r="K6" s="1226"/>
      <c r="L6" s="1256"/>
      <c r="M6" s="576"/>
      <c r="N6" s="1268"/>
      <c r="O6" s="1269"/>
      <c r="Q6" s="574"/>
      <c r="R6" s="1253"/>
      <c r="S6" s="1253"/>
    </row>
    <row r="7" spans="1:19" s="564" customFormat="1">
      <c r="A7" s="577" t="s">
        <v>252</v>
      </c>
      <c r="B7" s="578">
        <f>N57</f>
        <v>3645.0000000000005</v>
      </c>
      <c r="C7" s="579">
        <f>B100</f>
        <v>0</v>
      </c>
      <c r="D7" s="580"/>
      <c r="E7" s="580">
        <f>E100</f>
        <v>1072.0588235294117</v>
      </c>
      <c r="F7" s="581"/>
      <c r="G7" s="582"/>
      <c r="H7" s="580">
        <f>I100</f>
        <v>0</v>
      </c>
      <c r="I7" s="580">
        <f>G100+F100</f>
        <v>3216.1764705882347</v>
      </c>
      <c r="J7" s="580">
        <f>H100+D100+C100</f>
        <v>0</v>
      </c>
      <c r="K7" s="580"/>
      <c r="L7" s="583"/>
      <c r="M7" s="584">
        <f>C7*$C$11+D7*$D$11+E7*$E$11+F7*$F$11+G7*$G$11+H7*$H$11+I7*$I$11+J7*$J$11</f>
        <v>286.23970588235295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32014.218766224538</v>
      </c>
      <c r="C9" s="595">
        <f t="shared" ref="C9:L9" si="0">SUM(C7:C8)</f>
        <v>0</v>
      </c>
      <c r="D9" s="595">
        <f t="shared" si="0"/>
        <v>0</v>
      </c>
      <c r="E9" s="595">
        <f t="shared" si="0"/>
        <v>1072.0588235294117</v>
      </c>
      <c r="F9" s="595">
        <f t="shared" si="0"/>
        <v>0</v>
      </c>
      <c r="G9" s="595">
        <f t="shared" si="0"/>
        <v>0</v>
      </c>
      <c r="H9" s="595">
        <f t="shared" si="0"/>
        <v>0</v>
      </c>
      <c r="I9" s="595">
        <f t="shared" si="0"/>
        <v>3216.1764705882347</v>
      </c>
      <c r="J9" s="595">
        <f t="shared" si="0"/>
        <v>0</v>
      </c>
      <c r="K9" s="595">
        <f t="shared" si="0"/>
        <v>0</v>
      </c>
      <c r="L9" s="595">
        <f t="shared" si="0"/>
        <v>0</v>
      </c>
      <c r="M9" s="596">
        <f>SUM(M4:M8)</f>
        <v>286.23970588235295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4100.6250000000009</v>
      </c>
      <c r="C16" s="611">
        <f>B101</f>
        <v>0</v>
      </c>
      <c r="D16" s="612"/>
      <c r="E16" s="612">
        <f>E101</f>
        <v>1206.0661764705883</v>
      </c>
      <c r="F16" s="613"/>
      <c r="G16" s="614"/>
      <c r="H16" s="611">
        <f>I101</f>
        <v>0</v>
      </c>
      <c r="I16" s="612">
        <f>G101+F101</f>
        <v>3618.1985294117649</v>
      </c>
      <c r="J16" s="612">
        <f>H101+D101+C101</f>
        <v>0</v>
      </c>
      <c r="K16" s="612"/>
      <c r="L16" s="615"/>
      <c r="M16" s="616">
        <f>C16*$C$21+E16*$E$21+H16*$H$21+I16*$I$21+J16*$J$21+D16*$D$21+F16*$F$21+G16*$G$21+K16*$K$21+L16*$L$21</f>
        <v>322.01966911764708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4100.6250000000009</v>
      </c>
      <c r="C19" s="594">
        <f>SUM(C16:C18)</f>
        <v>0</v>
      </c>
      <c r="D19" s="594">
        <f t="shared" ref="D19:M19" si="1">SUM(D16:D18)</f>
        <v>0</v>
      </c>
      <c r="E19" s="594">
        <f t="shared" si="1"/>
        <v>1206.0661764705883</v>
      </c>
      <c r="F19" s="594">
        <f t="shared" si="1"/>
        <v>0</v>
      </c>
      <c r="G19" s="594">
        <f t="shared" si="1"/>
        <v>0</v>
      </c>
      <c r="H19" s="594">
        <f t="shared" si="1"/>
        <v>0</v>
      </c>
      <c r="I19" s="594">
        <f t="shared" si="1"/>
        <v>3618.1985294117649</v>
      </c>
      <c r="J19" s="594">
        <f t="shared" si="1"/>
        <v>0</v>
      </c>
      <c r="K19" s="594">
        <f t="shared" si="1"/>
        <v>0</v>
      </c>
      <c r="L19" s="594">
        <f t="shared" si="1"/>
        <v>0</v>
      </c>
      <c r="M19" s="621">
        <f t="shared" si="1"/>
        <v>322.01966911764708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71037</v>
      </c>
      <c r="C27" s="852">
        <v>3560</v>
      </c>
      <c r="D27" s="673" t="s">
        <v>871</v>
      </c>
      <c r="E27" s="672" t="s">
        <v>872</v>
      </c>
      <c r="F27" s="672" t="s">
        <v>873</v>
      </c>
      <c r="G27" s="672" t="s">
        <v>874</v>
      </c>
      <c r="H27" s="672" t="s">
        <v>875</v>
      </c>
      <c r="I27" s="672" t="s">
        <v>872</v>
      </c>
      <c r="J27" s="851">
        <v>40575</v>
      </c>
      <c r="K27" s="851">
        <v>40616</v>
      </c>
      <c r="L27" s="672" t="s">
        <v>876</v>
      </c>
      <c r="M27" s="672">
        <v>810</v>
      </c>
      <c r="N27" s="672">
        <v>3645.0000000000005</v>
      </c>
      <c r="O27" s="672">
        <v>4100.6250000000009</v>
      </c>
      <c r="P27" s="672">
        <v>0</v>
      </c>
      <c r="Q27" s="672">
        <v>0</v>
      </c>
      <c r="R27" s="672">
        <v>0</v>
      </c>
      <c r="S27" s="672">
        <v>2278.125</v>
      </c>
      <c r="T27" s="672">
        <v>6834.375</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810</v>
      </c>
      <c r="N57" s="630">
        <f>SUM(N27:N56)</f>
        <v>3645.0000000000005</v>
      </c>
      <c r="O57" s="630">
        <f t="shared" ref="O57:W57" si="2">SUM(O27:O56)</f>
        <v>4100.6250000000009</v>
      </c>
      <c r="P57" s="630">
        <f t="shared" si="2"/>
        <v>0</v>
      </c>
      <c r="Q57" s="630">
        <f t="shared" si="2"/>
        <v>0</v>
      </c>
      <c r="R57" s="630">
        <f t="shared" si="2"/>
        <v>0</v>
      </c>
      <c r="S57" s="630">
        <f t="shared" si="2"/>
        <v>2278.125</v>
      </c>
      <c r="T57" s="630">
        <f t="shared" si="2"/>
        <v>6834.375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810</v>
      </c>
      <c r="N59" s="630">
        <f ca="1">SUMIF($Z$27:AB56,"tertiair",N27:N56)</f>
        <v>3645.0000000000005</v>
      </c>
      <c r="O59" s="630">
        <f ca="1">SUMIF($Z$27:AC56,"tertiair",O27:O56)</f>
        <v>4100.6250000000009</v>
      </c>
      <c r="P59" s="630">
        <f ca="1">SUMIF($Z$27:AD56,"tertiair",P27:P56)</f>
        <v>0</v>
      </c>
      <c r="Q59" s="630">
        <f ca="1">SUMIF($Z$27:AE56,"tertiair",Q27:Q56)</f>
        <v>0</v>
      </c>
      <c r="R59" s="630">
        <f ca="1">SUMIF($Z$27:AF56,"tertiair",R27:R56)</f>
        <v>0</v>
      </c>
      <c r="S59" s="630">
        <f ca="1">SUMIF($Z$27:AG56,"tertiair",S27:S56)</f>
        <v>2278.125</v>
      </c>
      <c r="T59" s="630">
        <f ca="1">SUMIF($Z$27:AH56,"tertiair",T27:T56)</f>
        <v>6834.375</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0.47058823529411759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1072.0588235294117</v>
      </c>
      <c r="F100" s="664">
        <f t="shared" si="9"/>
        <v>3216.1764705882347</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1206.0661764705883</v>
      </c>
      <c r="F101" s="667">
        <f t="shared" si="10"/>
        <v>3618.1985294117649</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25369.382535211269</v>
      </c>
      <c r="D10" s="719">
        <f ca="1">tertiair!C16</f>
        <v>4100.6250000000009</v>
      </c>
      <c r="E10" s="719">
        <f ca="1">tertiair!D16</f>
        <v>15930.430361999999</v>
      </c>
      <c r="F10" s="719">
        <f>tertiair!E16</f>
        <v>146.35901487481735</v>
      </c>
      <c r="G10" s="719">
        <f ca="1">tertiair!F16</f>
        <v>461.20300725762309</v>
      </c>
      <c r="H10" s="719">
        <f>tertiair!G16</f>
        <v>0</v>
      </c>
      <c r="I10" s="719">
        <f>tertiair!H16</f>
        <v>0</v>
      </c>
      <c r="J10" s="719">
        <f>tertiair!I16</f>
        <v>0</v>
      </c>
      <c r="K10" s="719">
        <f>tertiair!J16</f>
        <v>0</v>
      </c>
      <c r="L10" s="719">
        <f>tertiair!K16</f>
        <v>0</v>
      </c>
      <c r="M10" s="719">
        <f ca="1">tertiair!L16</f>
        <v>0</v>
      </c>
      <c r="N10" s="719">
        <f>tertiair!M16</f>
        <v>0</v>
      </c>
      <c r="O10" s="719">
        <f ca="1">tertiair!N16</f>
        <v>1103.5082038367455</v>
      </c>
      <c r="P10" s="719">
        <f>tertiair!O16</f>
        <v>1.5633333333333335</v>
      </c>
      <c r="Q10" s="720">
        <f>tertiair!P16</f>
        <v>19.066666666666666</v>
      </c>
      <c r="R10" s="722">
        <f ca="1">SUM(C10:Q10)</f>
        <v>47132.138123180455</v>
      </c>
      <c r="S10" s="67"/>
    </row>
    <row r="11" spans="1:19" s="475" customFormat="1">
      <c r="A11" s="871" t="s">
        <v>225</v>
      </c>
      <c r="B11" s="876"/>
      <c r="C11" s="719">
        <f>huishoudens!B8</f>
        <v>26810.158545630587</v>
      </c>
      <c r="D11" s="719">
        <f>huishoudens!C8</f>
        <v>0</v>
      </c>
      <c r="E11" s="719">
        <f>huishoudens!D8</f>
        <v>28772.438882000002</v>
      </c>
      <c r="F11" s="719">
        <f>huishoudens!E8</f>
        <v>1796.7994424908147</v>
      </c>
      <c r="G11" s="719">
        <f>huishoudens!F8</f>
        <v>62776.962470210179</v>
      </c>
      <c r="H11" s="719">
        <f>huishoudens!G8</f>
        <v>0</v>
      </c>
      <c r="I11" s="719">
        <f>huishoudens!H8</f>
        <v>0</v>
      </c>
      <c r="J11" s="719">
        <f>huishoudens!I8</f>
        <v>0</v>
      </c>
      <c r="K11" s="719">
        <f>huishoudens!J8</f>
        <v>0</v>
      </c>
      <c r="L11" s="719">
        <f>huishoudens!K8</f>
        <v>0</v>
      </c>
      <c r="M11" s="719">
        <f>huishoudens!L8</f>
        <v>0</v>
      </c>
      <c r="N11" s="719">
        <f>huishoudens!M8</f>
        <v>0</v>
      </c>
      <c r="O11" s="719">
        <f>huishoudens!N8</f>
        <v>14905.476097209181</v>
      </c>
      <c r="P11" s="719">
        <f>huishoudens!O8</f>
        <v>359.56666666666666</v>
      </c>
      <c r="Q11" s="720">
        <f>huishoudens!P8</f>
        <v>972.4</v>
      </c>
      <c r="R11" s="722">
        <f>SUM(C11:Q11)</f>
        <v>136393.80210420745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49709.93499999999</v>
      </c>
      <c r="D13" s="719">
        <f>industrie!C18</f>
        <v>0</v>
      </c>
      <c r="E13" s="719">
        <f>industrie!D18</f>
        <v>87447.854582000014</v>
      </c>
      <c r="F13" s="719">
        <f>industrie!E18</f>
        <v>1384.7191896083264</v>
      </c>
      <c r="G13" s="719">
        <f>industrie!F18</f>
        <v>69937.586084974013</v>
      </c>
      <c r="H13" s="719">
        <f>industrie!G18</f>
        <v>0</v>
      </c>
      <c r="I13" s="719">
        <f>industrie!H18</f>
        <v>0</v>
      </c>
      <c r="J13" s="719">
        <f>industrie!I18</f>
        <v>0</v>
      </c>
      <c r="K13" s="719">
        <f>industrie!J18</f>
        <v>812.66597126907948</v>
      </c>
      <c r="L13" s="719">
        <f>industrie!K18</f>
        <v>0</v>
      </c>
      <c r="M13" s="719">
        <f>industrie!L18</f>
        <v>0</v>
      </c>
      <c r="N13" s="719">
        <f>industrie!M18</f>
        <v>0</v>
      </c>
      <c r="O13" s="719">
        <f>industrie!N18</f>
        <v>19168.094947636833</v>
      </c>
      <c r="P13" s="719">
        <f>industrie!O18</f>
        <v>0</v>
      </c>
      <c r="Q13" s="720">
        <f>industrie!P18</f>
        <v>0</v>
      </c>
      <c r="R13" s="722">
        <f>SUM(C13:Q13)</f>
        <v>228460.85577548825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101889.47608084185</v>
      </c>
      <c r="D15" s="724">
        <f t="shared" ref="D15:Q15" ca="1" si="0">SUM(D9:D14)</f>
        <v>4100.6250000000009</v>
      </c>
      <c r="E15" s="724">
        <f t="shared" ca="1" si="0"/>
        <v>132150.723826</v>
      </c>
      <c r="F15" s="724">
        <f t="shared" si="0"/>
        <v>3327.8776469739587</v>
      </c>
      <c r="G15" s="724">
        <f t="shared" ca="1" si="0"/>
        <v>133175.75156244182</v>
      </c>
      <c r="H15" s="724">
        <f t="shared" si="0"/>
        <v>0</v>
      </c>
      <c r="I15" s="724">
        <f t="shared" si="0"/>
        <v>0</v>
      </c>
      <c r="J15" s="724">
        <f t="shared" si="0"/>
        <v>0</v>
      </c>
      <c r="K15" s="724">
        <f t="shared" si="0"/>
        <v>812.66597126907948</v>
      </c>
      <c r="L15" s="724">
        <f t="shared" si="0"/>
        <v>0</v>
      </c>
      <c r="M15" s="724">
        <f t="shared" ca="1" si="0"/>
        <v>0</v>
      </c>
      <c r="N15" s="724">
        <f t="shared" si="0"/>
        <v>0</v>
      </c>
      <c r="O15" s="724">
        <f t="shared" ca="1" si="0"/>
        <v>35177.079248682756</v>
      </c>
      <c r="P15" s="724">
        <f t="shared" si="0"/>
        <v>361.13</v>
      </c>
      <c r="Q15" s="725">
        <f t="shared" si="0"/>
        <v>991.4666666666667</v>
      </c>
      <c r="R15" s="726">
        <f ca="1">SUM(R9:R14)</f>
        <v>411986.79600287613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2069.808578589857</v>
      </c>
      <c r="I18" s="719">
        <f>transport!H54</f>
        <v>0</v>
      </c>
      <c r="J18" s="719">
        <f>transport!I54</f>
        <v>0</v>
      </c>
      <c r="K18" s="719">
        <f>transport!J54</f>
        <v>0</v>
      </c>
      <c r="L18" s="719">
        <f>transport!K54</f>
        <v>0</v>
      </c>
      <c r="M18" s="719">
        <f>transport!L54</f>
        <v>0</v>
      </c>
      <c r="N18" s="719">
        <f>transport!M54</f>
        <v>118.03514941902762</v>
      </c>
      <c r="O18" s="719">
        <f>transport!N54</f>
        <v>0</v>
      </c>
      <c r="P18" s="719">
        <f>transport!O54</f>
        <v>0</v>
      </c>
      <c r="Q18" s="720">
        <f>transport!P54</f>
        <v>0</v>
      </c>
      <c r="R18" s="722">
        <f>SUM(C18:Q18)</f>
        <v>2187.8437280088847</v>
      </c>
      <c r="S18" s="67"/>
    </row>
    <row r="19" spans="1:19" s="475" customFormat="1" ht="15" thickBot="1">
      <c r="A19" s="871" t="s">
        <v>307</v>
      </c>
      <c r="B19" s="876"/>
      <c r="C19" s="728">
        <f>transport!B14</f>
        <v>54.394431624431462</v>
      </c>
      <c r="D19" s="728">
        <f>transport!C14</f>
        <v>0</v>
      </c>
      <c r="E19" s="728">
        <f>transport!D14</f>
        <v>138.46314733543721</v>
      </c>
      <c r="F19" s="728">
        <f>transport!E14</f>
        <v>1056.4468437958601</v>
      </c>
      <c r="G19" s="728">
        <f>transport!F14</f>
        <v>0</v>
      </c>
      <c r="H19" s="728">
        <f>transport!G14</f>
        <v>314068.88504795689</v>
      </c>
      <c r="I19" s="728">
        <f>transport!H14</f>
        <v>54237.553085119034</v>
      </c>
      <c r="J19" s="728">
        <f>transport!I14</f>
        <v>0</v>
      </c>
      <c r="K19" s="728">
        <f>transport!J14</f>
        <v>0</v>
      </c>
      <c r="L19" s="728">
        <f>transport!K14</f>
        <v>0</v>
      </c>
      <c r="M19" s="728">
        <f>transport!L14</f>
        <v>0</v>
      </c>
      <c r="N19" s="728">
        <f>transport!M14</f>
        <v>19837.080383298518</v>
      </c>
      <c r="O19" s="728">
        <f>transport!N14</f>
        <v>0</v>
      </c>
      <c r="P19" s="728">
        <f>transport!O14</f>
        <v>0</v>
      </c>
      <c r="Q19" s="729">
        <f>transport!P14</f>
        <v>0</v>
      </c>
      <c r="R19" s="730">
        <f>SUM(C19:Q19)</f>
        <v>389392.82293913019</v>
      </c>
      <c r="S19" s="67"/>
    </row>
    <row r="20" spans="1:19" s="475" customFormat="1" ht="15.75" thickBot="1">
      <c r="A20" s="731" t="s">
        <v>230</v>
      </c>
      <c r="B20" s="879"/>
      <c r="C20" s="874">
        <f>SUM(C17:C19)</f>
        <v>54.394431624431462</v>
      </c>
      <c r="D20" s="732">
        <f t="shared" ref="D20:R20" si="1">SUM(D17:D19)</f>
        <v>0</v>
      </c>
      <c r="E20" s="732">
        <f t="shared" si="1"/>
        <v>138.46314733543721</v>
      </c>
      <c r="F20" s="732">
        <f t="shared" si="1"/>
        <v>1056.4468437958601</v>
      </c>
      <c r="G20" s="732">
        <f t="shared" si="1"/>
        <v>0</v>
      </c>
      <c r="H20" s="732">
        <f t="shared" si="1"/>
        <v>316138.69362654677</v>
      </c>
      <c r="I20" s="732">
        <f t="shared" si="1"/>
        <v>54237.553085119034</v>
      </c>
      <c r="J20" s="732">
        <f t="shared" si="1"/>
        <v>0</v>
      </c>
      <c r="K20" s="732">
        <f t="shared" si="1"/>
        <v>0</v>
      </c>
      <c r="L20" s="732">
        <f t="shared" si="1"/>
        <v>0</v>
      </c>
      <c r="M20" s="732">
        <f t="shared" si="1"/>
        <v>0</v>
      </c>
      <c r="N20" s="732">
        <f t="shared" si="1"/>
        <v>19955.115532717547</v>
      </c>
      <c r="O20" s="732">
        <f t="shared" si="1"/>
        <v>0</v>
      </c>
      <c r="P20" s="732">
        <f t="shared" si="1"/>
        <v>0</v>
      </c>
      <c r="Q20" s="733">
        <f t="shared" si="1"/>
        <v>0</v>
      </c>
      <c r="R20" s="734">
        <f t="shared" si="1"/>
        <v>391580.6666671391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1328.45</v>
      </c>
      <c r="D22" s="728">
        <f>+landbouw!C8</f>
        <v>0</v>
      </c>
      <c r="E22" s="728">
        <f>+landbouw!D8</f>
        <v>1679.5727080000001</v>
      </c>
      <c r="F22" s="728">
        <f>+landbouw!E8</f>
        <v>12.304660306005911</v>
      </c>
      <c r="G22" s="728">
        <f>+landbouw!F8</f>
        <v>3370.5307194652951</v>
      </c>
      <c r="H22" s="728">
        <f>+landbouw!G8</f>
        <v>0</v>
      </c>
      <c r="I22" s="728">
        <f>+landbouw!H8</f>
        <v>0</v>
      </c>
      <c r="J22" s="728">
        <f>+landbouw!I8</f>
        <v>0</v>
      </c>
      <c r="K22" s="728">
        <f>+landbouw!J8</f>
        <v>203.66621054526979</v>
      </c>
      <c r="L22" s="728">
        <f>+landbouw!K8</f>
        <v>0</v>
      </c>
      <c r="M22" s="728">
        <f>+landbouw!L8</f>
        <v>0</v>
      </c>
      <c r="N22" s="728">
        <f>+landbouw!M8</f>
        <v>0</v>
      </c>
      <c r="O22" s="728">
        <f>+landbouw!N8</f>
        <v>0</v>
      </c>
      <c r="P22" s="728">
        <f>+landbouw!O8</f>
        <v>0</v>
      </c>
      <c r="Q22" s="729">
        <f>+landbouw!P8</f>
        <v>0</v>
      </c>
      <c r="R22" s="730">
        <f>SUM(C22:Q22)</f>
        <v>6594.5242983165708</v>
      </c>
      <c r="S22" s="67"/>
    </row>
    <row r="23" spans="1:19" s="475" customFormat="1" ht="17.25" thickTop="1" thickBot="1">
      <c r="A23" s="735" t="s">
        <v>116</v>
      </c>
      <c r="B23" s="865"/>
      <c r="C23" s="736">
        <f ca="1">C20+C15+C22</f>
        <v>103272.32051246628</v>
      </c>
      <c r="D23" s="736">
        <f t="shared" ref="D23:Q23" ca="1" si="2">D20+D15+D22</f>
        <v>4100.6250000000009</v>
      </c>
      <c r="E23" s="736">
        <f t="shared" ca="1" si="2"/>
        <v>133968.75968133542</v>
      </c>
      <c r="F23" s="736">
        <f t="shared" si="2"/>
        <v>4396.6291510758247</v>
      </c>
      <c r="G23" s="736">
        <f t="shared" ca="1" si="2"/>
        <v>136546.2822819071</v>
      </c>
      <c r="H23" s="736">
        <f t="shared" si="2"/>
        <v>316138.69362654677</v>
      </c>
      <c r="I23" s="736">
        <f t="shared" si="2"/>
        <v>54237.553085119034</v>
      </c>
      <c r="J23" s="736">
        <f t="shared" si="2"/>
        <v>0</v>
      </c>
      <c r="K23" s="736">
        <f t="shared" si="2"/>
        <v>1016.3321818143493</v>
      </c>
      <c r="L23" s="736">
        <f t="shared" si="2"/>
        <v>0</v>
      </c>
      <c r="M23" s="736">
        <f t="shared" ca="1" si="2"/>
        <v>0</v>
      </c>
      <c r="N23" s="736">
        <f t="shared" si="2"/>
        <v>19955.115532717547</v>
      </c>
      <c r="O23" s="736">
        <f t="shared" ca="1" si="2"/>
        <v>35177.079248682756</v>
      </c>
      <c r="P23" s="736">
        <f t="shared" si="2"/>
        <v>361.13</v>
      </c>
      <c r="Q23" s="737">
        <f t="shared" si="2"/>
        <v>991.4666666666667</v>
      </c>
      <c r="R23" s="738">
        <f ca="1">R20+R15+R22</f>
        <v>810161.98696833174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3938.9043050841151</v>
      </c>
      <c r="D36" s="719">
        <f ca="1">tertiair!C20</f>
        <v>322.01966911764708</v>
      </c>
      <c r="E36" s="719">
        <f ca="1">tertiair!D20</f>
        <v>3217.9469331240002</v>
      </c>
      <c r="F36" s="719">
        <f>tertiair!E20</f>
        <v>33.22349637658354</v>
      </c>
      <c r="G36" s="719">
        <f ca="1">tertiair!F20</f>
        <v>123.14120293778537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7635.2356066401317</v>
      </c>
    </row>
    <row r="37" spans="1:18">
      <c r="A37" s="886" t="s">
        <v>225</v>
      </c>
      <c r="B37" s="893"/>
      <c r="C37" s="719">
        <f ca="1">huishoudens!B12</f>
        <v>4162.6022536733599</v>
      </c>
      <c r="D37" s="719">
        <f ca="1">huishoudens!C12</f>
        <v>0</v>
      </c>
      <c r="E37" s="719">
        <f>huishoudens!D12</f>
        <v>5812.0326541640006</v>
      </c>
      <c r="F37" s="719">
        <f>huishoudens!E12</f>
        <v>407.87347344541496</v>
      </c>
      <c r="G37" s="719">
        <f>huishoudens!F12</f>
        <v>16761.44897954612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27143.957360828896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7718.0702646266009</v>
      </c>
      <c r="D39" s="719">
        <f ca="1">industrie!C22</f>
        <v>0</v>
      </c>
      <c r="E39" s="719">
        <f>industrie!D22</f>
        <v>17664.466625564004</v>
      </c>
      <c r="F39" s="719">
        <f>industrie!E22</f>
        <v>314.33125604109011</v>
      </c>
      <c r="G39" s="719">
        <f>industrie!F22</f>
        <v>18673.335484688061</v>
      </c>
      <c r="H39" s="719">
        <f>industrie!G22</f>
        <v>0</v>
      </c>
      <c r="I39" s="719">
        <f>industrie!H22</f>
        <v>0</v>
      </c>
      <c r="J39" s="719">
        <f>industrie!I22</f>
        <v>0</v>
      </c>
      <c r="K39" s="719">
        <f>industrie!J22</f>
        <v>287.6837538292541</v>
      </c>
      <c r="L39" s="719">
        <f>industrie!K22</f>
        <v>0</v>
      </c>
      <c r="M39" s="719">
        <f>industrie!L22</f>
        <v>0</v>
      </c>
      <c r="N39" s="719">
        <f>industrie!M22</f>
        <v>0</v>
      </c>
      <c r="O39" s="719">
        <f>industrie!N22</f>
        <v>0</v>
      </c>
      <c r="P39" s="719">
        <f>industrie!O22</f>
        <v>0</v>
      </c>
      <c r="Q39" s="829">
        <f>industrie!P22</f>
        <v>0</v>
      </c>
      <c r="R39" s="919">
        <f ca="1">SUM(C39:Q39)</f>
        <v>44657.88738474901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15819.576823384075</v>
      </c>
      <c r="D41" s="764">
        <f t="shared" ref="D41:R41" ca="1" si="4">SUM(D35:D40)</f>
        <v>322.01966911764708</v>
      </c>
      <c r="E41" s="764">
        <f t="shared" ca="1" si="4"/>
        <v>26694.446212852003</v>
      </c>
      <c r="F41" s="764">
        <f t="shared" si="4"/>
        <v>755.42822586308864</v>
      </c>
      <c r="G41" s="764">
        <f t="shared" ca="1" si="4"/>
        <v>35557.925667171963</v>
      </c>
      <c r="H41" s="764">
        <f t="shared" si="4"/>
        <v>0</v>
      </c>
      <c r="I41" s="764">
        <f t="shared" si="4"/>
        <v>0</v>
      </c>
      <c r="J41" s="764">
        <f t="shared" si="4"/>
        <v>0</v>
      </c>
      <c r="K41" s="764">
        <f t="shared" si="4"/>
        <v>287.6837538292541</v>
      </c>
      <c r="L41" s="764">
        <f t="shared" si="4"/>
        <v>0</v>
      </c>
      <c r="M41" s="764">
        <f t="shared" ca="1" si="4"/>
        <v>0</v>
      </c>
      <c r="N41" s="764">
        <f t="shared" si="4"/>
        <v>0</v>
      </c>
      <c r="O41" s="764">
        <f t="shared" ca="1" si="4"/>
        <v>0</v>
      </c>
      <c r="P41" s="764">
        <f t="shared" si="4"/>
        <v>0</v>
      </c>
      <c r="Q41" s="765">
        <f t="shared" si="4"/>
        <v>0</v>
      </c>
      <c r="R41" s="766">
        <f t="shared" ca="1" si="4"/>
        <v>79437.080352218036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552.63889048349188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552.63889048349188</v>
      </c>
    </row>
    <row r="45" spans="1:18" ht="15" thickBot="1">
      <c r="A45" s="889" t="s">
        <v>307</v>
      </c>
      <c r="B45" s="899"/>
      <c r="C45" s="728">
        <f ca="1">transport!B18</f>
        <v>8.4453951766742268</v>
      </c>
      <c r="D45" s="728">
        <f>transport!C18</f>
        <v>0</v>
      </c>
      <c r="E45" s="728">
        <f>transport!D18</f>
        <v>27.969555761758318</v>
      </c>
      <c r="F45" s="728">
        <f>transport!E18</f>
        <v>239.81343354166026</v>
      </c>
      <c r="G45" s="728">
        <f>transport!F18</f>
        <v>0</v>
      </c>
      <c r="H45" s="728">
        <f>transport!G18</f>
        <v>83856.39230780449</v>
      </c>
      <c r="I45" s="728">
        <f>transport!H18</f>
        <v>13505.15071819464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97637.771410479225</v>
      </c>
    </row>
    <row r="46" spans="1:18" ht="15.75" thickBot="1">
      <c r="A46" s="887" t="s">
        <v>230</v>
      </c>
      <c r="B46" s="900"/>
      <c r="C46" s="764">
        <f t="shared" ref="C46:R46" ca="1" si="5">SUM(C43:C45)</f>
        <v>8.4453951766742268</v>
      </c>
      <c r="D46" s="764">
        <f t="shared" ca="1" si="5"/>
        <v>0</v>
      </c>
      <c r="E46" s="764">
        <f t="shared" si="5"/>
        <v>27.969555761758318</v>
      </c>
      <c r="F46" s="764">
        <f t="shared" si="5"/>
        <v>239.81343354166026</v>
      </c>
      <c r="G46" s="764">
        <f t="shared" si="5"/>
        <v>0</v>
      </c>
      <c r="H46" s="764">
        <f t="shared" si="5"/>
        <v>84409.031198287979</v>
      </c>
      <c r="I46" s="764">
        <f t="shared" si="5"/>
        <v>13505.15071819464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98190.410300962714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206.25797324102737</v>
      </c>
      <c r="D48" s="719">
        <f ca="1">+landbouw!C12</f>
        <v>0</v>
      </c>
      <c r="E48" s="719">
        <f>+landbouw!D12</f>
        <v>339.27368701600005</v>
      </c>
      <c r="F48" s="719">
        <f>+landbouw!E12</f>
        <v>2.793157889463342</v>
      </c>
      <c r="G48" s="719">
        <f>+landbouw!F12</f>
        <v>899.93170209723382</v>
      </c>
      <c r="H48" s="719">
        <f>+landbouw!G12</f>
        <v>0</v>
      </c>
      <c r="I48" s="719">
        <f>+landbouw!H12</f>
        <v>0</v>
      </c>
      <c r="J48" s="719">
        <f>+landbouw!I12</f>
        <v>0</v>
      </c>
      <c r="K48" s="719">
        <f>+landbouw!J12</f>
        <v>72.097838533025509</v>
      </c>
      <c r="L48" s="719">
        <f>+landbouw!K12</f>
        <v>0</v>
      </c>
      <c r="M48" s="719">
        <f>+landbouw!L12</f>
        <v>0</v>
      </c>
      <c r="N48" s="719">
        <f>+landbouw!M12</f>
        <v>0</v>
      </c>
      <c r="O48" s="719">
        <f>+landbouw!N12</f>
        <v>0</v>
      </c>
      <c r="P48" s="719">
        <f>+landbouw!O12</f>
        <v>0</v>
      </c>
      <c r="Q48" s="720">
        <f>+landbouw!P12</f>
        <v>0</v>
      </c>
      <c r="R48" s="762">
        <f ca="1">SUM(C48:Q48)</f>
        <v>1520.3543587767499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16034.280191801776</v>
      </c>
      <c r="D53" s="774">
        <f t="shared" ref="D53:Q53" ca="1" si="6">D41+D46+D48</f>
        <v>322.01966911764708</v>
      </c>
      <c r="E53" s="774">
        <f t="shared" ca="1" si="6"/>
        <v>27061.689455629763</v>
      </c>
      <c r="F53" s="774">
        <f t="shared" si="6"/>
        <v>998.0348172942123</v>
      </c>
      <c r="G53" s="774">
        <f t="shared" ca="1" si="6"/>
        <v>36457.857369269193</v>
      </c>
      <c r="H53" s="774">
        <f t="shared" si="6"/>
        <v>84409.031198287979</v>
      </c>
      <c r="I53" s="774">
        <f t="shared" si="6"/>
        <v>13505.15071819464</v>
      </c>
      <c r="J53" s="774">
        <f t="shared" si="6"/>
        <v>0</v>
      </c>
      <c r="K53" s="774">
        <f t="shared" si="6"/>
        <v>359.78159236227964</v>
      </c>
      <c r="L53" s="774">
        <f t="shared" si="6"/>
        <v>0</v>
      </c>
      <c r="M53" s="774">
        <f t="shared" ca="1" si="6"/>
        <v>0</v>
      </c>
      <c r="N53" s="774">
        <f t="shared" si="6"/>
        <v>0</v>
      </c>
      <c r="O53" s="774">
        <f t="shared" ca="1" si="6"/>
        <v>0</v>
      </c>
      <c r="P53" s="774">
        <f>P41+P46+P48</f>
        <v>0</v>
      </c>
      <c r="Q53" s="775">
        <f t="shared" si="6"/>
        <v>0</v>
      </c>
      <c r="R53" s="776">
        <f ca="1">R41+R46+R48</f>
        <v>179147.84501195751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0.15526212747263904</v>
      </c>
      <c r="D55" s="837">
        <f t="shared" ca="1" si="7"/>
        <v>7.8529411764705875E-2</v>
      </c>
      <c r="E55" s="837">
        <f t="shared" ca="1" si="7"/>
        <v>0.20200000000000007</v>
      </c>
      <c r="F55" s="837">
        <f t="shared" si="7"/>
        <v>0.22700000000000004</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17957.391436674647</v>
      </c>
      <c r="C64" s="796">
        <f>'lokale energieproductie'!B4</f>
        <v>17957.391436674647</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10411.827329549891</v>
      </c>
      <c r="C66" s="796">
        <f>'lokale energieproductie'!B6</f>
        <v>10411.827329549891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3645.0000000000005</v>
      </c>
      <c r="C67" s="795">
        <f>B67*IFERROR(SUM(J67:L67)/SUM(D67:M67),0)</f>
        <v>2733.75</v>
      </c>
      <c r="D67" s="827">
        <f>'lokale energieproductie'!C7</f>
        <v>0</v>
      </c>
      <c r="E67" s="828">
        <f>'lokale energieproductie'!D7</f>
        <v>0</v>
      </c>
      <c r="F67" s="828">
        <f>'lokale energieproductie'!E7</f>
        <v>1072.0588235294117</v>
      </c>
      <c r="G67" s="828">
        <f>'lokale energieproductie'!F7</f>
        <v>0</v>
      </c>
      <c r="H67" s="828">
        <f>'lokale energieproductie'!G7</f>
        <v>0</v>
      </c>
      <c r="I67" s="828">
        <f>'lokale energieproductie'!H7</f>
        <v>0</v>
      </c>
      <c r="J67" s="828">
        <f>'lokale energieproductie'!I7</f>
        <v>3216.1764705882347</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286.23970588235295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32014.218766224538</v>
      </c>
      <c r="C69" s="804">
        <f>SUM(C64:C68)</f>
        <v>31102.968766224538</v>
      </c>
      <c r="D69" s="805">
        <f t="shared" ref="D69:M69" si="8">SUM(D67:D68)</f>
        <v>0</v>
      </c>
      <c r="E69" s="805">
        <f t="shared" si="8"/>
        <v>0</v>
      </c>
      <c r="F69" s="805">
        <f t="shared" si="8"/>
        <v>1072.0588235294117</v>
      </c>
      <c r="G69" s="805">
        <f t="shared" si="8"/>
        <v>0</v>
      </c>
      <c r="H69" s="805">
        <f t="shared" si="8"/>
        <v>0</v>
      </c>
      <c r="I69" s="805">
        <f t="shared" si="8"/>
        <v>0</v>
      </c>
      <c r="J69" s="805">
        <f t="shared" si="8"/>
        <v>3216.1764705882347</v>
      </c>
      <c r="K69" s="805">
        <f t="shared" si="8"/>
        <v>0</v>
      </c>
      <c r="L69" s="805">
        <f t="shared" si="8"/>
        <v>0</v>
      </c>
      <c r="M69" s="931">
        <f t="shared" si="8"/>
        <v>0</v>
      </c>
      <c r="N69" s="806">
        <v>0</v>
      </c>
      <c r="O69" s="806">
        <f>SUM(O67:O68)</f>
        <v>286.23970588235295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4100.6250000000009</v>
      </c>
      <c r="C78" s="818">
        <f>B78*IFERROR(SUM(I78:L78)/SUM(D78:M78),0)</f>
        <v>3075.4687500000009</v>
      </c>
      <c r="D78" s="833">
        <f>'lokale energieproductie'!C16</f>
        <v>0</v>
      </c>
      <c r="E78" s="833">
        <f>'lokale energieproductie'!D16</f>
        <v>0</v>
      </c>
      <c r="F78" s="833">
        <f>'lokale energieproductie'!E16</f>
        <v>1206.0661764705883</v>
      </c>
      <c r="G78" s="833">
        <f>'lokale energieproductie'!F16</f>
        <v>0</v>
      </c>
      <c r="H78" s="833">
        <f>'lokale energieproductie'!G16</f>
        <v>0</v>
      </c>
      <c r="I78" s="833">
        <f>'lokale energieproductie'!H16</f>
        <v>0</v>
      </c>
      <c r="J78" s="833">
        <f>'lokale energieproductie'!I16</f>
        <v>3618.1985294117649</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322.01966911764708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4100.6250000000009</v>
      </c>
      <c r="C81" s="804">
        <f>SUM(C78:C80)</f>
        <v>3075.4687500000009</v>
      </c>
      <c r="D81" s="804">
        <f t="shared" ref="D81:P81" si="9">SUM(D78:D80)</f>
        <v>0</v>
      </c>
      <c r="E81" s="804">
        <f t="shared" si="9"/>
        <v>0</v>
      </c>
      <c r="F81" s="804">
        <f t="shared" si="9"/>
        <v>1206.0661764705883</v>
      </c>
      <c r="G81" s="804">
        <f t="shared" si="9"/>
        <v>0</v>
      </c>
      <c r="H81" s="804">
        <f t="shared" si="9"/>
        <v>0</v>
      </c>
      <c r="I81" s="804">
        <f t="shared" si="9"/>
        <v>0</v>
      </c>
      <c r="J81" s="804">
        <f t="shared" si="9"/>
        <v>3618.1985294117649</v>
      </c>
      <c r="K81" s="804">
        <f t="shared" si="9"/>
        <v>0</v>
      </c>
      <c r="L81" s="804">
        <f t="shared" si="9"/>
        <v>0</v>
      </c>
      <c r="M81" s="804">
        <f t="shared" si="9"/>
        <v>0</v>
      </c>
      <c r="N81" s="804">
        <v>0</v>
      </c>
      <c r="O81" s="804">
        <f>SUM(O78:O80)</f>
        <v>322.01966911764708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26810.158545630587</v>
      </c>
      <c r="C4" s="479">
        <f>huishoudens!C8</f>
        <v>0</v>
      </c>
      <c r="D4" s="479">
        <f>huishoudens!D8</f>
        <v>28772.438882000002</v>
      </c>
      <c r="E4" s="479">
        <f>huishoudens!E8</f>
        <v>1796.7994424908147</v>
      </c>
      <c r="F4" s="479">
        <f>huishoudens!F8</f>
        <v>62776.962470210179</v>
      </c>
      <c r="G4" s="479">
        <f>huishoudens!G8</f>
        <v>0</v>
      </c>
      <c r="H4" s="479">
        <f>huishoudens!H8</f>
        <v>0</v>
      </c>
      <c r="I4" s="479">
        <f>huishoudens!I8</f>
        <v>0</v>
      </c>
      <c r="J4" s="479">
        <f>huishoudens!J8</f>
        <v>0</v>
      </c>
      <c r="K4" s="479">
        <f>huishoudens!K8</f>
        <v>0</v>
      </c>
      <c r="L4" s="479">
        <f>huishoudens!L8</f>
        <v>0</v>
      </c>
      <c r="M4" s="479">
        <f>huishoudens!M8</f>
        <v>0</v>
      </c>
      <c r="N4" s="479">
        <f>huishoudens!N8</f>
        <v>14905.476097209181</v>
      </c>
      <c r="O4" s="479">
        <f>huishoudens!O8</f>
        <v>359.56666666666666</v>
      </c>
      <c r="P4" s="480">
        <f>huishoudens!P8</f>
        <v>972.4</v>
      </c>
      <c r="Q4" s="481">
        <f>SUM(B4:P4)</f>
        <v>136393.80210420745</v>
      </c>
    </row>
    <row r="5" spans="1:17">
      <c r="A5" s="478" t="s">
        <v>156</v>
      </c>
      <c r="B5" s="479">
        <f ca="1">tertiair!B16</f>
        <v>24331.866535211269</v>
      </c>
      <c r="C5" s="479">
        <f ca="1">tertiair!C16</f>
        <v>4100.6250000000009</v>
      </c>
      <c r="D5" s="479">
        <f ca="1">tertiair!D16</f>
        <v>15930.430361999999</v>
      </c>
      <c r="E5" s="479">
        <f>tertiair!E16</f>
        <v>146.35901487481735</v>
      </c>
      <c r="F5" s="479">
        <f ca="1">tertiair!F16</f>
        <v>461.20300725762309</v>
      </c>
      <c r="G5" s="479">
        <f>tertiair!G16</f>
        <v>0</v>
      </c>
      <c r="H5" s="479">
        <f>tertiair!H16</f>
        <v>0</v>
      </c>
      <c r="I5" s="479">
        <f>tertiair!I16</f>
        <v>0</v>
      </c>
      <c r="J5" s="479">
        <f>tertiair!J16</f>
        <v>0</v>
      </c>
      <c r="K5" s="479">
        <f>tertiair!K16</f>
        <v>0</v>
      </c>
      <c r="L5" s="479">
        <f ca="1">tertiair!L16</f>
        <v>0</v>
      </c>
      <c r="M5" s="479">
        <f>tertiair!M16</f>
        <v>0</v>
      </c>
      <c r="N5" s="479">
        <f ca="1">tertiair!N16</f>
        <v>1103.5082038367455</v>
      </c>
      <c r="O5" s="479">
        <f>tertiair!O16</f>
        <v>1.5633333333333335</v>
      </c>
      <c r="P5" s="480">
        <f>tertiair!P16</f>
        <v>19.066666666666666</v>
      </c>
      <c r="Q5" s="478">
        <f t="shared" ref="Q5:Q13" ca="1" si="0">SUM(B5:P5)</f>
        <v>46094.622123180459</v>
      </c>
    </row>
    <row r="6" spans="1:17">
      <c r="A6" s="478" t="s">
        <v>194</v>
      </c>
      <c r="B6" s="479">
        <f>'openbare verlichting'!B8</f>
        <v>1037.5160000000001</v>
      </c>
      <c r="C6" s="479"/>
      <c r="D6" s="479"/>
      <c r="E6" s="479"/>
      <c r="F6" s="479"/>
      <c r="G6" s="479"/>
      <c r="H6" s="479"/>
      <c r="I6" s="479"/>
      <c r="J6" s="479"/>
      <c r="K6" s="479"/>
      <c r="L6" s="479"/>
      <c r="M6" s="479"/>
      <c r="N6" s="479"/>
      <c r="O6" s="479"/>
      <c r="P6" s="480"/>
      <c r="Q6" s="478">
        <f t="shared" si="0"/>
        <v>1037.5160000000001</v>
      </c>
    </row>
    <row r="7" spans="1:17">
      <c r="A7" s="478" t="s">
        <v>112</v>
      </c>
      <c r="B7" s="479">
        <f>landbouw!B8</f>
        <v>1328.45</v>
      </c>
      <c r="C7" s="479">
        <f>landbouw!C8</f>
        <v>0</v>
      </c>
      <c r="D7" s="479">
        <f>landbouw!D8</f>
        <v>1679.5727080000001</v>
      </c>
      <c r="E7" s="479">
        <f>landbouw!E8</f>
        <v>12.304660306005911</v>
      </c>
      <c r="F7" s="479">
        <f>landbouw!F8</f>
        <v>3370.5307194652951</v>
      </c>
      <c r="G7" s="479">
        <f>landbouw!G8</f>
        <v>0</v>
      </c>
      <c r="H7" s="479">
        <f>landbouw!H8</f>
        <v>0</v>
      </c>
      <c r="I7" s="479">
        <f>landbouw!I8</f>
        <v>0</v>
      </c>
      <c r="J7" s="479">
        <f>landbouw!J8</f>
        <v>203.66621054526979</v>
      </c>
      <c r="K7" s="479">
        <f>landbouw!K8</f>
        <v>0</v>
      </c>
      <c r="L7" s="479">
        <f>landbouw!L8</f>
        <v>0</v>
      </c>
      <c r="M7" s="479">
        <f>landbouw!M8</f>
        <v>0</v>
      </c>
      <c r="N7" s="479">
        <f>landbouw!N8</f>
        <v>0</v>
      </c>
      <c r="O7" s="479">
        <f>landbouw!O8</f>
        <v>0</v>
      </c>
      <c r="P7" s="480">
        <f>landbouw!P8</f>
        <v>0</v>
      </c>
      <c r="Q7" s="478">
        <f t="shared" si="0"/>
        <v>6594.5242983165708</v>
      </c>
    </row>
    <row r="8" spans="1:17">
      <c r="A8" s="478" t="s">
        <v>650</v>
      </c>
      <c r="B8" s="479">
        <f>industrie!B18</f>
        <v>49709.93499999999</v>
      </c>
      <c r="C8" s="479">
        <f>industrie!C18</f>
        <v>0</v>
      </c>
      <c r="D8" s="479">
        <f>industrie!D18</f>
        <v>87447.854582000014</v>
      </c>
      <c r="E8" s="479">
        <f>industrie!E18</f>
        <v>1384.7191896083264</v>
      </c>
      <c r="F8" s="479">
        <f>industrie!F18</f>
        <v>69937.586084974013</v>
      </c>
      <c r="G8" s="479">
        <f>industrie!G18</f>
        <v>0</v>
      </c>
      <c r="H8" s="479">
        <f>industrie!H18</f>
        <v>0</v>
      </c>
      <c r="I8" s="479">
        <f>industrie!I18</f>
        <v>0</v>
      </c>
      <c r="J8" s="479">
        <f>industrie!J18</f>
        <v>812.66597126907948</v>
      </c>
      <c r="K8" s="479">
        <f>industrie!K18</f>
        <v>0</v>
      </c>
      <c r="L8" s="479">
        <f>industrie!L18</f>
        <v>0</v>
      </c>
      <c r="M8" s="479">
        <f>industrie!M18</f>
        <v>0</v>
      </c>
      <c r="N8" s="479">
        <f>industrie!N18</f>
        <v>19168.094947636833</v>
      </c>
      <c r="O8" s="479">
        <f>industrie!O18</f>
        <v>0</v>
      </c>
      <c r="P8" s="480">
        <f>industrie!P18</f>
        <v>0</v>
      </c>
      <c r="Q8" s="478">
        <f t="shared" si="0"/>
        <v>228460.85577548825</v>
      </c>
    </row>
    <row r="9" spans="1:17" s="484" customFormat="1">
      <c r="A9" s="482" t="s">
        <v>571</v>
      </c>
      <c r="B9" s="483">
        <f>transport!B14</f>
        <v>54.394431624431462</v>
      </c>
      <c r="C9" s="483"/>
      <c r="D9" s="483">
        <f>transport!D14</f>
        <v>138.46314733543721</v>
      </c>
      <c r="E9" s="483">
        <f>transport!E14</f>
        <v>1056.4468437958601</v>
      </c>
      <c r="F9" s="483"/>
      <c r="G9" s="483">
        <f>transport!G14</f>
        <v>314068.88504795689</v>
      </c>
      <c r="H9" s="483">
        <f>transport!H14</f>
        <v>54237.553085119034</v>
      </c>
      <c r="I9" s="483"/>
      <c r="J9" s="483"/>
      <c r="K9" s="483"/>
      <c r="L9" s="483"/>
      <c r="M9" s="483">
        <f>transport!M14</f>
        <v>19837.080383298518</v>
      </c>
      <c r="N9" s="483"/>
      <c r="O9" s="483"/>
      <c r="P9" s="483"/>
      <c r="Q9" s="482">
        <f>SUM(B9:P9)</f>
        <v>389392.82293913019</v>
      </c>
    </row>
    <row r="10" spans="1:17">
      <c r="A10" s="478" t="s">
        <v>561</v>
      </c>
      <c r="B10" s="479">
        <f>transport!B54</f>
        <v>0</v>
      </c>
      <c r="C10" s="479"/>
      <c r="D10" s="479">
        <f>transport!D54</f>
        <v>0</v>
      </c>
      <c r="E10" s="479"/>
      <c r="F10" s="479"/>
      <c r="G10" s="479">
        <f>transport!G54</f>
        <v>2069.808578589857</v>
      </c>
      <c r="H10" s="479"/>
      <c r="I10" s="479"/>
      <c r="J10" s="479"/>
      <c r="K10" s="479"/>
      <c r="L10" s="479"/>
      <c r="M10" s="479">
        <f>transport!M54</f>
        <v>118.03514941902762</v>
      </c>
      <c r="N10" s="479"/>
      <c r="O10" s="479"/>
      <c r="P10" s="480"/>
      <c r="Q10" s="478">
        <f t="shared" si="0"/>
        <v>2187.8437280088847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103272.32051246628</v>
      </c>
      <c r="C14" s="489">
        <f t="shared" ref="C14:Q14" ca="1" si="1">SUM(C4:C13)</f>
        <v>4100.6250000000009</v>
      </c>
      <c r="D14" s="489">
        <f t="shared" ca="1" si="1"/>
        <v>133968.75968133545</v>
      </c>
      <c r="E14" s="489">
        <f t="shared" si="1"/>
        <v>4396.6291510758247</v>
      </c>
      <c r="F14" s="489">
        <f t="shared" ca="1" si="1"/>
        <v>136546.2822819071</v>
      </c>
      <c r="G14" s="489">
        <f t="shared" si="1"/>
        <v>316138.69362654677</v>
      </c>
      <c r="H14" s="489">
        <f t="shared" si="1"/>
        <v>54237.553085119034</v>
      </c>
      <c r="I14" s="489">
        <f t="shared" si="1"/>
        <v>0</v>
      </c>
      <c r="J14" s="489">
        <f t="shared" si="1"/>
        <v>1016.3321818143493</v>
      </c>
      <c r="K14" s="489">
        <f t="shared" si="1"/>
        <v>0</v>
      </c>
      <c r="L14" s="489">
        <f t="shared" ca="1" si="1"/>
        <v>0</v>
      </c>
      <c r="M14" s="489">
        <f t="shared" si="1"/>
        <v>19955.115532717547</v>
      </c>
      <c r="N14" s="489">
        <f t="shared" ca="1" si="1"/>
        <v>35177.079248682756</v>
      </c>
      <c r="O14" s="489">
        <f t="shared" si="1"/>
        <v>361.13</v>
      </c>
      <c r="P14" s="490">
        <f t="shared" si="1"/>
        <v>991.4666666666667</v>
      </c>
      <c r="Q14" s="490">
        <f t="shared" ca="1" si="1"/>
        <v>810161.98696833174</v>
      </c>
    </row>
    <row r="16" spans="1:17">
      <c r="A16" s="492" t="s">
        <v>566</v>
      </c>
      <c r="B16" s="842">
        <f ca="1">huishoudens!B10</f>
        <v>0.15526212747263907</v>
      </c>
      <c r="C16" s="842">
        <f ca="1">huishoudens!C10</f>
        <v>7.8529411764705875E-2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4162.6022536733599</v>
      </c>
      <c r="C21" s="479">
        <f t="shared" ref="C21:C28" ca="1" si="3">C4*$C$16</f>
        <v>0</v>
      </c>
      <c r="D21" s="479">
        <f t="shared" ref="D21:D30" si="4">D4*$D$16</f>
        <v>5812.0326541640006</v>
      </c>
      <c r="E21" s="479">
        <f t="shared" ref="E21:E30" si="5">E4*$E$16</f>
        <v>407.87347344541496</v>
      </c>
      <c r="F21" s="479">
        <f t="shared" ref="F21:F28" si="6">F4*$F$16</f>
        <v>16761.44897954612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27143.957360828896</v>
      </c>
    </row>
    <row r="22" spans="1:17">
      <c r="A22" s="478" t="s">
        <v>156</v>
      </c>
      <c r="B22" s="479">
        <f t="shared" ca="1" si="2"/>
        <v>3777.8173636372126</v>
      </c>
      <c r="C22" s="479">
        <f t="shared" ca="1" si="3"/>
        <v>322.01966911764708</v>
      </c>
      <c r="D22" s="479">
        <f t="shared" ca="1" si="4"/>
        <v>3217.9469331240002</v>
      </c>
      <c r="E22" s="479">
        <f t="shared" si="5"/>
        <v>33.22349637658354</v>
      </c>
      <c r="F22" s="479">
        <f t="shared" ca="1" si="6"/>
        <v>123.14120293778537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7474.1486651932282</v>
      </c>
    </row>
    <row r="23" spans="1:17">
      <c r="A23" s="478" t="s">
        <v>194</v>
      </c>
      <c r="B23" s="479">
        <f t="shared" ca="1" si="2"/>
        <v>161.08694144690261</v>
      </c>
      <c r="C23" s="479"/>
      <c r="D23" s="479"/>
      <c r="E23" s="479"/>
      <c r="F23" s="479"/>
      <c r="G23" s="479"/>
      <c r="H23" s="479"/>
      <c r="I23" s="479"/>
      <c r="J23" s="479"/>
      <c r="K23" s="479"/>
      <c r="L23" s="479"/>
      <c r="M23" s="479"/>
      <c r="N23" s="479"/>
      <c r="O23" s="479"/>
      <c r="P23" s="480"/>
      <c r="Q23" s="478">
        <f t="shared" ca="1" si="17"/>
        <v>161.08694144690261</v>
      </c>
    </row>
    <row r="24" spans="1:17">
      <c r="A24" s="478" t="s">
        <v>112</v>
      </c>
      <c r="B24" s="479">
        <f t="shared" ca="1" si="2"/>
        <v>206.25797324102737</v>
      </c>
      <c r="C24" s="479">
        <f t="shared" ca="1" si="3"/>
        <v>0</v>
      </c>
      <c r="D24" s="479">
        <f t="shared" si="4"/>
        <v>339.27368701600005</v>
      </c>
      <c r="E24" s="479">
        <f t="shared" si="5"/>
        <v>2.793157889463342</v>
      </c>
      <c r="F24" s="479">
        <f t="shared" si="6"/>
        <v>899.93170209723382</v>
      </c>
      <c r="G24" s="479">
        <f t="shared" si="7"/>
        <v>0</v>
      </c>
      <c r="H24" s="479">
        <f t="shared" si="8"/>
        <v>0</v>
      </c>
      <c r="I24" s="479">
        <f t="shared" si="9"/>
        <v>0</v>
      </c>
      <c r="J24" s="479">
        <f t="shared" si="10"/>
        <v>72.097838533025509</v>
      </c>
      <c r="K24" s="479">
        <f t="shared" si="11"/>
        <v>0</v>
      </c>
      <c r="L24" s="479">
        <f t="shared" si="12"/>
        <v>0</v>
      </c>
      <c r="M24" s="479">
        <f t="shared" si="13"/>
        <v>0</v>
      </c>
      <c r="N24" s="479">
        <f t="shared" si="14"/>
        <v>0</v>
      </c>
      <c r="O24" s="479">
        <f t="shared" si="15"/>
        <v>0</v>
      </c>
      <c r="P24" s="480">
        <f t="shared" si="16"/>
        <v>0</v>
      </c>
      <c r="Q24" s="478">
        <f t="shared" ca="1" si="17"/>
        <v>1520.3543587767499</v>
      </c>
    </row>
    <row r="25" spans="1:17">
      <c r="A25" s="478" t="s">
        <v>650</v>
      </c>
      <c r="B25" s="479">
        <f t="shared" ca="1" si="2"/>
        <v>7718.0702646266009</v>
      </c>
      <c r="C25" s="479">
        <f t="shared" ca="1" si="3"/>
        <v>0</v>
      </c>
      <c r="D25" s="479">
        <f t="shared" si="4"/>
        <v>17664.466625564004</v>
      </c>
      <c r="E25" s="479">
        <f t="shared" si="5"/>
        <v>314.33125604109011</v>
      </c>
      <c r="F25" s="479">
        <f t="shared" si="6"/>
        <v>18673.335484688061</v>
      </c>
      <c r="G25" s="479">
        <f t="shared" si="7"/>
        <v>0</v>
      </c>
      <c r="H25" s="479">
        <f t="shared" si="8"/>
        <v>0</v>
      </c>
      <c r="I25" s="479">
        <f t="shared" si="9"/>
        <v>0</v>
      </c>
      <c r="J25" s="479">
        <f t="shared" si="10"/>
        <v>287.6837538292541</v>
      </c>
      <c r="K25" s="479">
        <f t="shared" si="11"/>
        <v>0</v>
      </c>
      <c r="L25" s="479">
        <f t="shared" si="12"/>
        <v>0</v>
      </c>
      <c r="M25" s="479">
        <f t="shared" si="13"/>
        <v>0</v>
      </c>
      <c r="N25" s="479">
        <f t="shared" si="14"/>
        <v>0</v>
      </c>
      <c r="O25" s="479">
        <f t="shared" si="15"/>
        <v>0</v>
      </c>
      <c r="P25" s="480">
        <f t="shared" si="16"/>
        <v>0</v>
      </c>
      <c r="Q25" s="478">
        <f t="shared" ca="1" si="17"/>
        <v>44657.88738474901</v>
      </c>
    </row>
    <row r="26" spans="1:17" s="484" customFormat="1">
      <c r="A26" s="482" t="s">
        <v>571</v>
      </c>
      <c r="B26" s="836">
        <f t="shared" ca="1" si="2"/>
        <v>8.4453951766742268</v>
      </c>
      <c r="C26" s="483"/>
      <c r="D26" s="483">
        <f t="shared" si="4"/>
        <v>27.969555761758318</v>
      </c>
      <c r="E26" s="483">
        <f t="shared" si="5"/>
        <v>239.81343354166026</v>
      </c>
      <c r="F26" s="483"/>
      <c r="G26" s="483">
        <f t="shared" si="7"/>
        <v>83856.39230780449</v>
      </c>
      <c r="H26" s="483">
        <f t="shared" si="8"/>
        <v>13505.15071819464</v>
      </c>
      <c r="I26" s="483"/>
      <c r="J26" s="483"/>
      <c r="K26" s="483"/>
      <c r="L26" s="483"/>
      <c r="M26" s="483">
        <f t="shared" si="13"/>
        <v>0</v>
      </c>
      <c r="N26" s="483"/>
      <c r="O26" s="483"/>
      <c r="P26" s="494"/>
      <c r="Q26" s="482">
        <f t="shared" ca="1" si="17"/>
        <v>97637.771410479225</v>
      </c>
    </row>
    <row r="27" spans="1:17">
      <c r="A27" s="478" t="s">
        <v>561</v>
      </c>
      <c r="B27" s="479">
        <f t="shared" ca="1" si="2"/>
        <v>0</v>
      </c>
      <c r="C27" s="479"/>
      <c r="D27" s="483">
        <f t="shared" si="4"/>
        <v>0</v>
      </c>
      <c r="E27" s="479"/>
      <c r="F27" s="479"/>
      <c r="G27" s="479">
        <f t="shared" si="7"/>
        <v>552.63889048349188</v>
      </c>
      <c r="H27" s="479"/>
      <c r="I27" s="479"/>
      <c r="J27" s="479"/>
      <c r="K27" s="479"/>
      <c r="L27" s="479"/>
      <c r="M27" s="479">
        <f t="shared" si="13"/>
        <v>0</v>
      </c>
      <c r="N27" s="479"/>
      <c r="O27" s="479"/>
      <c r="P27" s="480"/>
      <c r="Q27" s="478">
        <f t="shared" ca="1" si="17"/>
        <v>552.63889048349188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16034.280191801776</v>
      </c>
      <c r="C31" s="489">
        <f t="shared" ca="1" si="18"/>
        <v>322.01966911764708</v>
      </c>
      <c r="D31" s="489">
        <f t="shared" ca="1" si="18"/>
        <v>27061.689455629763</v>
      </c>
      <c r="E31" s="489">
        <f t="shared" si="18"/>
        <v>998.03481729421219</v>
      </c>
      <c r="F31" s="489">
        <f t="shared" ca="1" si="18"/>
        <v>36457.857369269201</v>
      </c>
      <c r="G31" s="489">
        <f t="shared" si="18"/>
        <v>84409.031198287979</v>
      </c>
      <c r="H31" s="489">
        <f t="shared" si="18"/>
        <v>13505.15071819464</v>
      </c>
      <c r="I31" s="489">
        <f t="shared" si="18"/>
        <v>0</v>
      </c>
      <c r="J31" s="489">
        <f t="shared" si="18"/>
        <v>359.78159236227964</v>
      </c>
      <c r="K31" s="489">
        <f t="shared" si="18"/>
        <v>0</v>
      </c>
      <c r="L31" s="489">
        <f t="shared" ca="1" si="18"/>
        <v>0</v>
      </c>
      <c r="M31" s="489">
        <f t="shared" si="18"/>
        <v>0</v>
      </c>
      <c r="N31" s="489">
        <f t="shared" ca="1" si="18"/>
        <v>0</v>
      </c>
      <c r="O31" s="489">
        <f t="shared" si="18"/>
        <v>0</v>
      </c>
      <c r="P31" s="490">
        <f t="shared" si="18"/>
        <v>0</v>
      </c>
      <c r="Q31" s="490">
        <f t="shared" ca="1" si="18"/>
        <v>179147.84501195754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0.15526212747263907</v>
      </c>
      <c r="C17" s="529">
        <f ca="1">'EF ele_warmte'!B22</f>
        <v>7.8529411764705875E-2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0.15526212747263907</v>
      </c>
      <c r="C17" s="529">
        <f ca="1">'EF ele_warmte'!B22</f>
        <v>7.8529411764705875E-2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0.15526212747263907</v>
      </c>
      <c r="C29" s="530">
        <f ca="1">'EF ele_warmte'!B22</f>
        <v>7.8529411764705875E-2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2019-01-01T21:34:19Z</dcterms:modified>
</cp:coreProperties>
</file>