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R22" i="14"/>
  <c r="O14"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0" i="13" l="1"/>
  <c r="C16" i="48" s="1"/>
  <c r="C24" s="1"/>
  <c r="F13" i="14"/>
  <c r="F15" s="1"/>
  <c r="F23" s="1"/>
  <c r="F55" s="1"/>
  <c r="K13"/>
  <c r="K15" s="1"/>
  <c r="K23" s="1"/>
  <c r="E8" i="48"/>
  <c r="E25" s="1"/>
  <c r="E31" s="1"/>
  <c r="C18" i="15"/>
  <c r="C20" s="1"/>
  <c r="D36" i="14" s="1"/>
  <c r="C20" i="16"/>
  <c r="C22" s="1"/>
  <c r="D39" i="14" s="1"/>
  <c r="C16" i="22"/>
  <c r="C17" i="19"/>
  <c r="C19" s="1"/>
  <c r="D35" i="14" s="1"/>
  <c r="C29" i="20"/>
  <c r="J8" i="48"/>
  <c r="J25" s="1"/>
  <c r="J31" s="1"/>
  <c r="N25"/>
  <c r="N31" s="1"/>
  <c r="N14"/>
  <c r="K41" i="14"/>
  <c r="K53" s="1"/>
  <c r="H55"/>
  <c r="E55"/>
  <c r="C78"/>
  <c r="C81" s="1"/>
  <c r="R19"/>
  <c r="R20" s="1"/>
  <c r="H14" i="48"/>
  <c r="G31"/>
  <c r="H26"/>
  <c r="H31" s="1"/>
  <c r="O53" i="14"/>
  <c r="G53"/>
  <c r="G55" s="1"/>
  <c r="O69" s="1"/>
  <c r="B9" i="6" s="1"/>
  <c r="B12" s="1"/>
  <c r="M53" i="14"/>
  <c r="M55" s="1"/>
  <c r="C28" i="48"/>
  <c r="F25"/>
  <c r="F31" s="1"/>
  <c r="F14"/>
  <c r="C25" l="1"/>
  <c r="C21"/>
  <c r="C31" s="1"/>
  <c r="C22"/>
  <c r="K55" i="14"/>
  <c r="E14" i="48"/>
  <c r="J14"/>
  <c r="R13" i="14"/>
  <c r="R15" s="1"/>
  <c r="Q8" i="48"/>
  <c r="Q14"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<sst xmlns="http://schemas.openxmlformats.org/spreadsheetml/2006/main" count="2191" uniqueCount="896">
  <si>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</si>
  <si>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</si>
  <si>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</si>
  <si>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</si>
  <si>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</si>
  <si>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</si>
  <si>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</si>
  <si>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</si>
  <si>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</si>
  <si>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</si>
  <si>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</si>
  <si>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</si>
  <si>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</si>
  <si>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</si>
  <si>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</si>
  <si>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</si>
  <si>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</si>
  <si>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</si>
  <si>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</si>
  <si>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</si>
  <si>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</si>
  <si>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</si>
  <si>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</si>
  <si>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</si>
  <si>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</si>
  <si>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</si>
  <si>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</si>
  <si>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</si>
  <si>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</si>
  <si>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</si>
  <si>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</si>
  <si>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</si>
  <si>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</si>
  <si>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</si>
  <si>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</si>
  <si>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</si>
  <si>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</si>
  <si>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</si>
  <si>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</si>
  <si>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</si>
  <si>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</si>
  <si>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</si>
  <si>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</si>
  <si>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</si>
  <si>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</si>
  <si>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</si>
  <si>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</si>
  <si>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</si>
  <si>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</si>
  <si>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</si>
  <si>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</si>
  <si>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</si>
  <si>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</si>
  <si>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</si>
  <si>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</si>
  <si>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</si>
  <si>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</si>
  <si>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</si>
  <si>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</si>
  <si>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</si>
  <si>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</si>
  <si>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</si>
  <si>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</si>
  <si>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</si>
  <si>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</si>
  <si>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</si>
  <si>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</si>
  <si>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</si>
  <si>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</si>
  <si>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</si>
  <si>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</si>
  <si>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</si>
  <si>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</si>
  <si>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</si>
  <si>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</si>
  <si>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</si>
  <si>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</si>
  <si>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</si>
  <si>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</si>
  <si>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</si>
  <si>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</si>
  <si>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</si>
  <si>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</si>
  <si>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</si>
  <si>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</si>
  <si>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</si>
  <si>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</si>
  <si>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</si>
  <si>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</si>
  <si>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</si>
  <si>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</si>
  <si>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</si>
  <si>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</si>
  <si>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</si>
  <si>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</si>
  <si>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</si>
  <si>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</si>
  <si>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</si>
  <si>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</si>
  <si>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</si>
  <si>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</si>
  <si>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</si>
  <si>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</si>
  <si>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</si>
  <si>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</si>
  <si>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</si>
  <si>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</si>
  <si>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</si>
  <si>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</si>
  <si>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</si>
  <si>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</si>
  <si>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</si>
  <si>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</si>
  <si>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</si>
  <si>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</si>
  <si>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</si>
  <si>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</si>
  <si>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</si>
  <si>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</si>
  <si>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</si>
  <si>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</si>
  <si>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</si>
  <si>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</si>
  <si>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</si>
  <si>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</si>
  <si>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</si>
  <si>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</si>
  <si>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</si>
  <si>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</si>
  <si>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</si>
  <si>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</si>
  <si>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</si>
  <si>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</si>
  <si>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</si>
  <si>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</si>
  <si>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</si>
  <si>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</si>
  <si>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</si>
  <si>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</si>
  <si>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</si>
  <si>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</si>
  <si>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</si>
  <si>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</si>
  <si>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</si>
  <si>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</si>
  <si>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</si>
  <si>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</si>
  <si>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</si>
  <si>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</si>
  <si>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</si>
  <si>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</si>
  <si>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</si>
  <si>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</si>
  <si>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</si>
  <si>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</si>
  <si>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</si>
  <si>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</si>
  <si>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</si>
  <si>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</si>
  <si>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</si>
  <si>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</si>
  <si>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</si>
  <si>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</si>
  <si>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</si>
  <si>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</si>
  <si>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</si>
  <si>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</si>
  <si>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</si>
  <si>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</si>
  <si>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</si>
  <si>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</si>
  <si>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</si>
  <si>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</si>
  <si>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</si>
  <si>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</si>
  <si>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</si>
  <si>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</si>
  <si>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</si>
  <si>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</si>
  <si>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</si>
  <si>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</si>
  <si>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</si>
  <si>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</si>
  <si>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</si>
  <si>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</si>
  <si>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</si>
  <si>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</si>
  <si>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</si>
  <si>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</si>
  <si>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</si>
  <si>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</si>
  <si>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</si>
  <si>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</si>
  <si>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</si>
  <si>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</si>
  <si>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</si>
  <si>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</si>
  <si>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</si>
  <si>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</si>
  <si>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</si>
  <si>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</si>
  <si>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</si>
  <si>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</si>
  <si>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</si>
  <si>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</si>
  <si>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</si>
  <si>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</si>
  <si>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</si>
  <si>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</si>
  <si>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</si>
  <si>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</si>
  <si>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</si>
  <si>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</si>
  <si>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</si>
  <si>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</si>
  <si>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</si>
  <si>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</si>
  <si>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</si>
  <si>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</si>
  <si>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</si>
  <si>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</si>
  <si>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</si>
  <si>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</si>
  <si>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</si>
  <si>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</si>
  <si>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</si>
  <si>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</si>
  <si>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</si>
  <si>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</si>
  <si>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</si>
  <si>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</si>
  <si>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</si>
  <si>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</si>
  <si>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</si>
  <si>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</si>
  <si>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</si>
  <si>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</si>
  <si>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</si>
  <si>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</si>
  <si>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</si>
  <si>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</si>
  <si>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</si>
  <si>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</si>
  <si>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</si>
  <si>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</si>
  <si>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</si>
  <si>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</si>
  <si>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</si>
  <si>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</si>
  <si>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</si>
  <si>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</si>
  <si>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</si>
  <si>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</si>
  <si>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</si>
  <si>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</si>
  <si>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</si>
  <si>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</si>
  <si>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</si>
  <si>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</si>
  <si>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</si>
  <si>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</si>
  <si>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</si>
  <si>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</si>
  <si>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</si>
  <si>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</si>
  <si>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</si>
  <si>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</si>
  <si>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</si>
  <si>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</si>
  <si>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</si>
  <si>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</si>
  <si>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</si>
  <si>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</si>
  <si>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</si>
  <si>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</si>
  <si>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</si>
  <si>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</si>
  <si>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</si>
  <si>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</si>
  <si>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</si>
  <si>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</si>
  <si>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</si>
  <si>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</si>
  <si>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</si>
  <si>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</si>
  <si>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</si>
  <si>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</si>
  <si>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</si>
  <si>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</si>
  <si>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</si>
  <si>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</si>
  <si>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</si>
  <si>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</si>
  <si>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</si>
  <si>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</si>
  <si>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</si>
  <si>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</si>
  <si>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</si>
  <si>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</si>
  <si>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</si>
  <si>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</si>
  <si>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</si>
  <si>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</si>
  <si>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</si>
  <si>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</si>
  <si>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</si>
  <si>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</si>
  <si>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</si>
  <si>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</si>
  <si>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</si>
  <si>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</si>
  <si>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</si>
  <si>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</si>
  <si>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</si>
  <si>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</si>
  <si>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</si>
  <si>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</si>
  <si>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</si>
  <si>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</si>
  <si>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</si>
  <si>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</si>
  <si>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</si>
  <si>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</si>
  <si>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</si>
  <si>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</si>
  <si>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</si>
  <si>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</si>
  <si>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</si>
  <si>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</si>
  <si>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</si>
  <si>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</si>
  <si>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</si>
  <si>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</si>
  <si>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</si>
  <si>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</si>
  <si>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</si>
  <si>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</si>
  <si>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</si>
  <si>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</si>
  <si>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</si>
  <si>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</si>
  <si>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</si>
  <si>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</si>
  <si>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</si>
  <si>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</si>
  <si>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</si>
  <si>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</si>
  <si>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</si>
  <si>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</si>
  <si>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</si>
  <si>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</si>
  <si>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</si>
  <si>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</si>
  <si>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</si>
  <si>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</si>
  <si>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</si>
  <si>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</si>
  <si>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</si>
  <si>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</si>
  <si>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</si>
  <si>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</si>
  <si>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</si>
  <si>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</si>
  <si>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</si>
  <si>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</si>
  <si>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</si>
  <si>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</si>
  <si>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</si>
  <si>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</si>
  <si>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</si>
  <si>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</si>
  <si>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</si>
  <si>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</si>
  <si>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</si>
  <si>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</si>
  <si>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</si>
  <si>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</si>
  <si>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</si>
  <si>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</si>
  <si>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</si>
  <si>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</si>
  <si>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</si>
  <si>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</si>
  <si>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</si>
  <si>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</si>
  <si>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</si>
  <si>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</si>
  <si>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</si>
  <si>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</si>
  <si>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</si>
  <si>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</si>
  <si>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</si>
  <si>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</si>
  <si>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</si>
  <si>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</si>
  <si>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</si>
  <si>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</si>
  <si>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</si>
  <si>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</si>
  <si>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</si>
  <si>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</si>
  <si>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</si>
  <si>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</si>
  <si>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</si>
  <si>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</si>
  <si>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</si>
  <si>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</si>
  <si>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</si>
  <si>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</si>
  <si>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</si>
  <si>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</si>
  <si>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</si>
  <si>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</si>
  <si>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</si>
  <si>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</si>
  <si>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</si>
  <si>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</si>
  <si>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</si>
  <si>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</si>
  <si>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</si>
  <si>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</si>
  <si>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</si>
  <si>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</si>
  <si>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</si>
  <si>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</si>
  <si>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</si>
  <si>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</si>
  <si>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</si>
  <si>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</si>
  <si>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</si>
  <si>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</si>
  <si>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</si>
  <si>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</si>
  <si>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</si>
  <si>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</si>
  <si>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</si>
  <si>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</si>
  <si>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</si>
  <si>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</si>
  <si>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</si>
  <si>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</si>
  <si>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</si>
  <si>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</si>
  <si>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</si>
  <si>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</si>
  <si>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</si>
  <si>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</si>
  <si>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</si>
  <si>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</si>
  <si>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</si>
  <si>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</si>
  <si>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</si>
  <si>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</si>
  <si>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</si>
  <si>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</si>
  <si>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</si>
  <si>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</si>
  <si>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</si>
  <si>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</si>
  <si>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</si>
  <si>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</si>
  <si>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</si>
  <si>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</si>
  <si>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</si>
  <si>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</si>
  <si>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</si>
  <si>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</si>
  <si>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</si>
  <si>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</si>
  <si>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</si>
  <si>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</si>
  <si>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</si>
  <si>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</si>
  <si>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</si>
  <si>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</si>
  <si>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</si>
  <si>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</si>
  <si>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</si>
  <si>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</si>
  <si>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</si>
  <si>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</si>
  <si>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</si>
  <si>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</si>
  <si>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</si>
  <si>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</si>
  <si>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</si>
  <si>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</si>
  <si>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</si>
  <si>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</si>
  <si>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</si>
  <si>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</si>
  <si>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</si>
  <si>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</si>
  <si>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</si>
  <si>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</si>
  <si>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</si>
  <si>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</si>
  <si>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</si>
  <si>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</si>
  <si>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</si>
  <si>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</si>
  <si>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</si>
  <si>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</si>
  <si>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</si>
  <si>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</si>
  <si>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</si>
  <si>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</si>
  <si>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</si>
  <si>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</si>
  <si>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</si>
  <si>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</si>
  <si>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</si>
  <si>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</si>
  <si>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</si>
  <si>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</si>
  <si>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</si>
  <si>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</si>
  <si>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</si>
  <si>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</si>
  <si>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</si>
  <si>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</si>
  <si>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</si>
  <si>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</si>
  <si>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</si>
  <si>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</si>
  <si>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</si>
  <si>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</si>
  <si>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</si>
  <si>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</si>
  <si>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</si>
  <si>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</si>
  <si>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</si>
  <si>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</si>
  <si>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</si>
  <si>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</si>
  <si>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</si>
  <si>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</si>
  <si>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</si>
  <si>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</si>
  <si>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</si>
  <si>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</si>
  <si>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</si>
  <si>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</si>
  <si>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</si>
  <si>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</si>
  <si>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</si>
  <si>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</si>
  <si>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</si>
  <si>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</si>
  <si>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</si>
  <si>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</si>
  <si>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</si>
  <si>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</si>
  <si>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</si>
  <si>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</si>
  <si>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</si>
  <si>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</si>
  <si>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</si>
  <si>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</si>
  <si>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</si>
  <si>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</si>
  <si>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</si>
  <si>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</si>
  <si>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</si>
  <si>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</si>
  <si>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</si>
  <si>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</si>
  <si>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</si>
  <si>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</si>
  <si>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</si>
  <si>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</si>
  <si>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</si>
  <si>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</si>
  <si>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</si>
  <si>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</si>
  <si>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</si>
  <si>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</si>
  <si>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</si>
  <si>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</si>
  <si>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</si>
  <si>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</si>
  <si>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</si>
  <si>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</si>
  <si>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</si>
  <si>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</si>
  <si>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</si>
  <si>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</si>
  <si>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</si>
  <si>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</si>
  <si>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</si>
  <si>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</si>
  <si>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</si>
  <si>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</si>
  <si>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</si>
  <si>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</si>
  <si>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</si>
  <si>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</si>
  <si>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</si>
  <si>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</si>
  <si>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</si>
  <si>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</si>
  <si>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</si>
  <si>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</si>
  <si>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</si>
  <si>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</si>
  <si>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</si>
  <si>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</si>
  <si>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</si>
  <si>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</si>
  <si>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</si>
  <si>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</si>
  <si>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</si>
  <si>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</si>
  <si>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</si>
  <si>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</si>
  <si>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</si>
  <si>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</si>
  <si>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</si>
  <si>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</si>
  <si>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</si>
  <si>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</si>
  <si>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</si>
  <si>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</si>
  <si>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</si>
  <si>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</si>
  <si>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</si>
  <si>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</si>
  <si>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</si>
  <si>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</si>
  <si>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</si>
  <si>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</si>
  <si>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</si>
  <si>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</si>
  <si>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</si>
  <si>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</si>
  <si>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</si>
  <si>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</si>
  <si>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</si>
  <si>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</si>
  <si>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</si>
  <si>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</si>
  <si>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</si>
  <si>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</si>
  <si>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</si>
  <si>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</si>
  <si>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</si>
  <si>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</si>
  <si>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</si>
  <si>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</si>
  <si>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</si>
  <si>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</si>
  <si>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</si>
  <si>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</si>
  <si>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</si>
  <si>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</si>
  <si>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</si>
  <si>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</si>
  <si>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</si>
  <si>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</si>
  <si>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</si>
  <si>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</si>
  <si>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</si>
  <si>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</si>
  <si>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</si>
  <si>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</si>
  <si>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</si>
  <si>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</si>
  <si>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</si>
  <si>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</si>
  <si>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</si>
  <si>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</si>
  <si>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</si>
  <si>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</si>
  <si>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</si>
  <si>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</si>
  <si>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</si>
  <si>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</si>
  <si>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</si>
  <si>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</si>
  <si>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</si>
  <si>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</si>
  <si>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</si>
  <si>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</si>
  <si>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</si>
  <si>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</si>
  <si>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</si>
  <si>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</si>
  <si>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</si>
  <si>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</si>
  <si>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</si>
  <si>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</si>
  <si>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</si>
  <si>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</si>
  <si>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</si>
  <si>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</si>
  <si>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</si>
  <si>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</si>
  <si>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</si>
  <si>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</si>
  <si>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</si>
  <si>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</si>
  <si>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</si>
  <si>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</si>
  <si>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</si>
  <si>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</si>
  <si>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</si>
  <si>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</si>
  <si>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</si>
  <si>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</si>
  <si>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</si>
  <si>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</si>
  <si>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</si>
  <si>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</si>
  <si>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</si>
  <si>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</si>
  <si>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</si>
  <si>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</si>
  <si>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</si>
  <si>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</si>
  <si>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</si>
  <si>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</si>
  <si>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</si>
  <si>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</si>
  <si>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</si>
  <si>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</si>
  <si>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</si>
  <si>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</si>
  <si>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</si>
  <si>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</si>
  <si>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</si>
  <si>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</si>
  <si>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</si>
  <si>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</si>
  <si>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</si>
  <si>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</si>
  <si>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</si>
  <si>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</si>
  <si>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</si>
  <si>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</si>
  <si>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</si>
  <si>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</si>
  <si>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</si>
  <si>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</si>
  <si>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</si>
  <si>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</si>
  <si>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</si>
  <si>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</si>
  <si>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</si>
  <si>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</si>
  <si>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</si>
  <si>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</si>
  <si>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</si>
  <si>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</si>
  <si>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</si>
  <si>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</si>
  <si>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</si>
  <si>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</si>
  <si>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</si>
  <si>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</si>
  <si>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</si>
  <si>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</si>
  <si>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</si>
  <si>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</si>
  <si>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</si>
  <si>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</si>
  <si>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</si>
  <si>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</si>
  <si>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</si>
  <si>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</si>
  <si>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</si>
  <si>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</si>
  <si>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</si>
  <si>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</si>
  <si>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</si>
  <si>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</si>
  <si>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</si>
  <si>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</si>
  <si>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</si>
  <si>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</si>
  <si>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</si>
  <si>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</si>
  <si>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</si>
  <si>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</si>
  <si>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</si>
  <si>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</si>
  <si>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</si>
  <si>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</si>
  <si>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</si>
  <si>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</si>
  <si>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</si>
  <si>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</si>
  <si>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</si>
  <si>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</si>
  <si>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</si>
  <si>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</si>
  <si>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</si>
  <si>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</si>
  <si>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</si>
  <si>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</si>
  <si>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</si>
  <si>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</si>
  <si>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</si>
  <si>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</si>
  <si>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</si>
  <si>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</si>
  <si>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</si>
  <si>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</si>
  <si>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</si>
  <si>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</si>
  <si>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</si>
  <si>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</si>
  <si>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</si>
  <si>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</si>
  <si>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</si>
  <si>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</si>
  <si>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</si>
  <si>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</si>
  <si>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</si>
  <si>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</si>
  <si>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</si>
  <si>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</si>
  <si>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</si>
  <si>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</si>
  <si>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</si>
  <si>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</si>
  <si>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</si>
  <si>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</si>
  <si>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</si>
  <si>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</si>
  <si>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</si>
  <si>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</si>
  <si>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</si>
  <si>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</si>
  <si>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</si>
  <si>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</si>
  <si>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</si>
  <si>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</si>
  <si>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</si>
  <si>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</si>
  <si>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</si>
  <si>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</si>
  <si>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</si>
  <si>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</si>
  <si>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</si>
  <si>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</si>
  <si>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</si>
  <si>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</si>
  <si>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</si>
  <si>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</si>
  <si>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</si>
  <si>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</si>
  <si>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</si>
  <si>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</si>
  <si>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</si>
  <si>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</si>
  <si>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</si>
  <si>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</si>
  <si>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</si>
  <si>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</si>
  <si>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</si>
  <si>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</si>
  <si>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</si>
  <si>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</si>
  <si>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</si>
  <si>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</si>
  <si>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Paarden&amp;pony's 200 - 600 kg</t>
  </si>
  <si>
    <t>Paarden&amp;pony's &lt; 200 kg</t>
  </si>
  <si>
    <t>referentietaak LNE (2017); Jaarverslag De Lijn (2014)</t>
  </si>
  <si>
    <t>op basis van VEA (maart 2018) en Inventaris Hernieuwbare Energiebronnen (juni 2018)</t>
  </si>
  <si>
    <t>VEA (maart 2016)</t>
  </si>
  <si>
    <t>VEA (juni 2018)</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</si>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</sst>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578582.45670196076</c:v>
                </c:pt>
                <c:pt idx="1">
                  <c:v>428874.61453972408</c:v>
                </c:pt>
                <c:pt idx="2">
                  <c:v>5102.21</c:v>
                </c:pt>
                <c:pt idx="3">
                  <c:v>9782.4648431491769</c:v>
                </c:pt>
                <c:pt idx="4">
                  <c:v>208740.47455532994</c:v>
                </c:pt>
                <c:pt idx="5">
                  <c:v>573524.31333461578</c:v>
                </c:pt>
                <c:pt idx="6">
                  <c:v>18123.392526385789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8832"/>
        <c:axId val="165741696"/>
      </c:barChart>
      <c:catAx>
        <c:axId val="165608832"/>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16560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578582.45670196076</c:v>
                </c:pt>
                <c:pt idx="1">
                  <c:v>428874.61453972408</c:v>
                </c:pt>
                <c:pt idx="2">
                  <c:v>5102.21</c:v>
                </c:pt>
                <c:pt idx="3">
                  <c:v>9782.4648431491769</c:v>
                </c:pt>
                <c:pt idx="4">
                  <c:v>208740.47455532994</c:v>
                </c:pt>
                <c:pt idx="5">
                  <c:v>573524.31333461578</c:v>
                </c:pt>
                <c:pt idx="6">
                  <c:v>18123.392526385789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115771.03379804791</c:v>
                </c:pt>
                <c:pt idx="1">
                  <c:v>86122.766774016927</c:v>
                </c:pt>
                <c:pt idx="2">
                  <c:v>1015.3904023163702</c:v>
                </c:pt>
                <c:pt idx="3">
                  <c:v>2343.2152943418851</c:v>
                </c:pt>
                <c:pt idx="4">
                  <c:v>41739.960316836747</c:v>
                </c:pt>
                <c:pt idx="5">
                  <c:v>143668.8755989192</c:v>
                </c:pt>
                <c:pt idx="6">
                  <c:v>4577.8825102347428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247360"/>
        <c:axId val="180133888"/>
      </c:barChart>
      <c:catAx>
        <c:axId val="179247360"/>
        <c:scaling>
          <c:orientation val="minMax"/>
        </c:scaling>
        <c:axPos val="b"/>
        <c:numFmt formatCode="General" sourceLinked="0"/>
        <c:tickLblPos val="nextTo"/>
        <c:crossAx val="180133888"/>
        <c:crosses val="autoZero"/>
        <c:auto val="1"/>
        <c:lblAlgn val="ctr"/>
        <c:lblOffset val="100"/>
      </c:catAx>
      <c:valAx>
        <c:axId val="180133888"/>
        <c:scaling>
          <c:orientation val="minMax"/>
        </c:scaling>
        <c:axPos val="l"/>
        <c:majorGridlines/>
        <c:numFmt formatCode="#,##0" sourceLinked="1"/>
        <c:tickLblPos val="nextTo"/>
        <c:crossAx val="17924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115771.03379804791</c:v>
                </c:pt>
                <c:pt idx="1">
                  <c:v>86122.766774016927</c:v>
                </c:pt>
                <c:pt idx="2">
                  <c:v>1015.3904023163702</c:v>
                </c:pt>
                <c:pt idx="3">
                  <c:v>2343.2152943418851</c:v>
                </c:pt>
                <c:pt idx="4">
                  <c:v>41739.960316836747</c:v>
                </c:pt>
                <c:pt idx="5">
                  <c:v>143668.8755989192</c:v>
                </c:pt>
                <c:pt idx="6">
                  <c:v>4577.8825102347428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668</v>
      </c>
      <c r="B2" s="420"/>
      <c r="C2" s="421"/>
    </row>
    <row r="3" spans="1:7" s="11" customFormat="1" ht="15" customHeight="1">
      <c r="A3" s="93"/>
      <c r="B3" s="74"/>
      <c r="C3" s="94"/>
    </row>
    <row r="4" spans="1:7" s="11" customFormat="1" ht="15.75" customHeight="1" thickBot="1">
      <c r="A4" s="105" t="s">
        <v>827</v>
      </c>
      <c r="B4" s="106"/>
      <c r="C4" s="107"/>
    </row>
    <row r="5" spans="1:7" s="414" customFormat="1" ht="15.75" customHeight="1">
      <c r="A5" s="411" t="s">
        <v>0</v>
      </c>
      <c r="B5" s="412"/>
      <c r="C5" s="413"/>
    </row>
    <row r="6" spans="1:7" s="414" customFormat="1" ht="15" customHeight="1">
      <c r="A6" s="415" t="str">
        <f>txtNIS</f>
        <v>71022</v>
      </c>
      <c r="B6" s="416"/>
      <c r="C6" s="417"/>
    </row>
    <row r="7" spans="1:7" s="414" customFormat="1" ht="15.75" customHeight="1">
      <c r="A7" s="418" t="str">
        <f>txtMunicipality</f>
        <v>HASSELT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686</v>
      </c>
      <c r="B10" s="1078"/>
      <c r="C10" s="1079"/>
    </row>
    <row r="11" spans="1:7" s="408" customFormat="1" ht="15.75" thickBot="1">
      <c r="A11" s="431" t="s">
        <v>359</v>
      </c>
      <c r="B11" s="434"/>
      <c r="C11" s="435"/>
      <c r="G11" s="409"/>
    </row>
    <row r="12" spans="1:7">
      <c r="A12" s="44"/>
      <c r="B12" s="43"/>
      <c r="C12" s="96"/>
    </row>
    <row r="13" spans="1:7" s="408" customFormat="1">
      <c r="A13" s="834" t="s">
        <v>628</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687</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585</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576</v>
      </c>
      <c r="B10" s="532"/>
      <c r="C10" s="141" t="s">
        <v>182</v>
      </c>
      <c r="D10" s="144" t="s">
        <v>391</v>
      </c>
      <c r="I10" s="1186"/>
      <c r="K10" s="58"/>
    </row>
    <row r="11" spans="1:11" s="43" customFormat="1">
      <c r="A11" s="44" t="s">
        <v>577</v>
      </c>
      <c r="B11" s="47"/>
      <c r="D11" s="142" t="s">
        <v>392</v>
      </c>
      <c r="I11" s="1186"/>
      <c r="K11" s="58"/>
    </row>
    <row r="12" spans="1:11" s="43" customFormat="1">
      <c r="A12" s="44" t="s">
        <v>578</v>
      </c>
      <c r="B12" s="47"/>
      <c r="D12" s="142" t="s">
        <v>392</v>
      </c>
      <c r="I12" s="1186"/>
      <c r="K12" s="58"/>
    </row>
    <row r="13" spans="1:11" s="43" customFormat="1">
      <c r="A13" s="44"/>
      <c r="B13" s="479"/>
      <c r="D13" s="96"/>
      <c r="I13" s="1186"/>
    </row>
    <row r="14" spans="1:11" s="43" customFormat="1">
      <c r="A14" s="304" t="s">
        <v>575</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586</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576</v>
      </c>
      <c r="B31" s="532"/>
      <c r="C31" s="141" t="s">
        <v>182</v>
      </c>
      <c r="D31" s="144" t="s">
        <v>391</v>
      </c>
    </row>
    <row r="32" spans="1:11">
      <c r="A32" s="468" t="s">
        <v>577</v>
      </c>
      <c r="B32" s="47"/>
      <c r="C32" s="48"/>
      <c r="D32" s="142" t="s">
        <v>392</v>
      </c>
    </row>
    <row r="33" spans="1:11">
      <c r="A33" s="44"/>
      <c r="B33" s="48"/>
      <c r="C33" s="48"/>
      <c r="D33" s="142"/>
    </row>
    <row r="34" spans="1:11" s="43" customFormat="1">
      <c r="A34" s="304" t="s">
        <v>575</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579</v>
      </c>
      <c r="B50" s="47"/>
      <c r="C50" s="32"/>
      <c r="D50" s="143" t="s">
        <v>393</v>
      </c>
    </row>
    <row r="51" spans="1:4">
      <c r="A51" s="44" t="s">
        <v>580</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581</v>
      </c>
      <c r="B57" s="47"/>
      <c r="C57" s="32"/>
      <c r="D57" s="142" t="s">
        <v>155</v>
      </c>
    </row>
    <row r="58" spans="1:4">
      <c r="A58" s="44" t="s">
        <v>582</v>
      </c>
      <c r="B58" s="47"/>
      <c r="C58" s="32"/>
      <c r="D58" s="142" t="s">
        <v>156</v>
      </c>
    </row>
    <row r="59" spans="1:4">
      <c r="A59" s="44" t="s">
        <v>583</v>
      </c>
      <c r="B59" s="47"/>
      <c r="C59" s="48"/>
      <c r="D59" s="142" t="s">
        <v>389</v>
      </c>
    </row>
    <row r="60" spans="1:4">
      <c r="A60" s="44" t="s">
        <v>584</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601</v>
      </c>
      <c r="B1" s="679"/>
      <c r="C1" s="679"/>
      <c r="D1" s="679"/>
      <c r="E1" s="680"/>
    </row>
    <row r="2" spans="1:5">
      <c r="A2" s="691" t="s">
        <v>394</v>
      </c>
      <c r="B2" s="696" t="s">
        <v>524</v>
      </c>
      <c r="C2" s="692"/>
      <c r="D2" s="692"/>
      <c r="E2" s="693"/>
    </row>
    <row r="3" spans="1:5">
      <c r="A3" s="694"/>
      <c r="B3" s="695"/>
      <c r="C3" s="683"/>
      <c r="D3" s="683"/>
      <c r="E3" s="684"/>
    </row>
    <row r="4" spans="1:5" s="334" customFormat="1" ht="45">
      <c r="A4" s="682" t="s">
        <v>605</v>
      </c>
      <c r="B4" s="690" t="s">
        <v>594</v>
      </c>
      <c r="C4" s="711" t="s">
        <v>616</v>
      </c>
      <c r="D4" s="712" t="s">
        <v>617</v>
      </c>
      <c r="E4" s="713" t="s">
        <v>618</v>
      </c>
    </row>
    <row r="5" spans="1:5">
      <c r="A5" s="685" t="s">
        <v>595</v>
      </c>
      <c r="B5" s="677" t="s">
        <v>596</v>
      </c>
      <c r="C5" s="708">
        <v>3.678273E-2</v>
      </c>
      <c r="D5" s="709">
        <v>0.27778000000000003</v>
      </c>
      <c r="E5" s="701">
        <f>C5*D5</f>
        <v>1.0217506739400001E-2</v>
      </c>
    </row>
    <row r="6" spans="1:5">
      <c r="A6" s="685" t="s">
        <v>595</v>
      </c>
      <c r="B6" s="677" t="s">
        <v>597</v>
      </c>
      <c r="C6" s="708">
        <v>4.2278999999999997E-2</v>
      </c>
      <c r="D6" s="709">
        <v>0.27778000000000003</v>
      </c>
      <c r="E6" s="701">
        <f t="shared" ref="E6:E21" si="0">C6*D6</f>
        <v>1.174426062E-2</v>
      </c>
    </row>
    <row r="7" spans="1:5">
      <c r="A7" s="685" t="s">
        <v>595</v>
      </c>
      <c r="B7" s="677" t="s">
        <v>598</v>
      </c>
      <c r="C7" s="708">
        <v>42.279000000000003</v>
      </c>
      <c r="D7" s="709">
        <v>0.27778000000000003</v>
      </c>
      <c r="E7" s="701">
        <f t="shared" si="0"/>
        <v>11.744260620000002</v>
      </c>
    </row>
    <row r="8" spans="1:5">
      <c r="A8" s="685" t="s">
        <v>599</v>
      </c>
      <c r="B8" s="677" t="s">
        <v>596</v>
      </c>
      <c r="C8" s="708">
        <v>3.8573799999999998E-2</v>
      </c>
      <c r="D8" s="709">
        <v>0.27778000000000003</v>
      </c>
      <c r="E8" s="701">
        <f t="shared" si="0"/>
        <v>1.0715030164E-2</v>
      </c>
    </row>
    <row r="9" spans="1:5">
      <c r="A9" s="685" t="s">
        <v>599</v>
      </c>
      <c r="B9" s="677" t="s">
        <v>597</v>
      </c>
      <c r="C9" s="708">
        <v>4.0604000000000001E-2</v>
      </c>
      <c r="D9" s="709">
        <v>0.27778000000000003</v>
      </c>
      <c r="E9" s="701">
        <f t="shared" si="0"/>
        <v>1.1278979120000001E-2</v>
      </c>
    </row>
    <row r="10" spans="1:5">
      <c r="A10" s="685" t="s">
        <v>599</v>
      </c>
      <c r="B10" s="677" t="s">
        <v>598</v>
      </c>
      <c r="C10" s="708">
        <v>40.603999999999999</v>
      </c>
      <c r="D10" s="709">
        <v>0.27778000000000003</v>
      </c>
      <c r="E10" s="701">
        <f t="shared" si="0"/>
        <v>11.278979120000001</v>
      </c>
    </row>
    <row r="11" spans="1:5">
      <c r="A11" s="685" t="s">
        <v>619</v>
      </c>
      <c r="B11" s="677" t="s">
        <v>596</v>
      </c>
      <c r="C11" s="708">
        <v>2.3511000000000001E-2</v>
      </c>
      <c r="D11" s="709">
        <v>0.27778000000000003</v>
      </c>
      <c r="E11" s="701">
        <f t="shared" si="0"/>
        <v>6.5308855800000004E-3</v>
      </c>
    </row>
    <row r="12" spans="1:5">
      <c r="A12" s="685" t="s">
        <v>619</v>
      </c>
      <c r="B12" s="677" t="s">
        <v>597</v>
      </c>
      <c r="C12" s="708">
        <v>4.6100000000000002E-2</v>
      </c>
      <c r="D12" s="709">
        <v>0.27778000000000003</v>
      </c>
      <c r="E12" s="701">
        <f t="shared" si="0"/>
        <v>1.2805658000000001E-2</v>
      </c>
    </row>
    <row r="13" spans="1:5">
      <c r="A13" s="685" t="s">
        <v>619</v>
      </c>
      <c r="B13" s="677" t="s">
        <v>598</v>
      </c>
      <c r="C13" s="708">
        <v>46.1</v>
      </c>
      <c r="D13" s="709">
        <v>0.27778000000000003</v>
      </c>
      <c r="E13" s="701">
        <f t="shared" si="0"/>
        <v>12.805658000000001</v>
      </c>
    </row>
    <row r="14" spans="1:5">
      <c r="A14" s="685" t="s">
        <v>620</v>
      </c>
      <c r="B14" s="677" t="s">
        <v>596</v>
      </c>
      <c r="C14" s="708">
        <v>2.6525139999999999E-2</v>
      </c>
      <c r="D14" s="709">
        <v>0.27778000000000003</v>
      </c>
      <c r="E14" s="701">
        <f t="shared" si="0"/>
        <v>7.3681533892000009E-3</v>
      </c>
    </row>
    <row r="15" spans="1:5">
      <c r="A15" s="685" t="s">
        <v>620</v>
      </c>
      <c r="B15" s="677" t="s">
        <v>597</v>
      </c>
      <c r="C15" s="708">
        <v>4.5733000000000003E-2</v>
      </c>
      <c r="D15" s="709">
        <v>0.27778000000000003</v>
      </c>
      <c r="E15" s="701">
        <f t="shared" si="0"/>
        <v>1.2703712740000001E-2</v>
      </c>
    </row>
    <row r="16" spans="1:5">
      <c r="A16" s="685" t="s">
        <v>620</v>
      </c>
      <c r="B16" s="677" t="s">
        <v>598</v>
      </c>
      <c r="C16" s="708">
        <v>45.732999999999997</v>
      </c>
      <c r="D16" s="709">
        <v>0.27778000000000003</v>
      </c>
      <c r="E16" s="701">
        <f t="shared" si="0"/>
        <v>12.70371274</v>
      </c>
    </row>
    <row r="17" spans="1:10">
      <c r="A17" s="685" t="s">
        <v>603</v>
      </c>
      <c r="B17" s="677" t="s">
        <v>600</v>
      </c>
      <c r="C17" s="708">
        <v>3.2923000000000001E-2</v>
      </c>
      <c r="D17" s="709">
        <f>0.27778</f>
        <v>0.27778000000000003</v>
      </c>
      <c r="E17" s="701">
        <f t="shared" si="0"/>
        <v>9.1453509400000015E-3</v>
      </c>
    </row>
    <row r="18" spans="1:10">
      <c r="A18" s="685" t="s">
        <v>604</v>
      </c>
      <c r="B18" s="677" t="s">
        <v>600</v>
      </c>
      <c r="C18" s="708">
        <v>3.8852400000000002E-2</v>
      </c>
      <c r="D18" s="709">
        <f>0.27778</f>
        <v>0.27778000000000003</v>
      </c>
      <c r="E18" s="701">
        <f t="shared" si="0"/>
        <v>1.0792419672000002E-2</v>
      </c>
    </row>
    <row r="19" spans="1:10">
      <c r="A19" s="685" t="s">
        <v>607</v>
      </c>
      <c r="B19" s="677" t="s">
        <v>596</v>
      </c>
      <c r="C19" s="708">
        <v>2.4812460000000001E-2</v>
      </c>
      <c r="D19" s="709">
        <v>0.27778000000000003</v>
      </c>
      <c r="E19" s="701">
        <f t="shared" si="0"/>
        <v>6.8924051388000009E-3</v>
      </c>
    </row>
    <row r="20" spans="1:10">
      <c r="A20" s="685" t="s">
        <v>607</v>
      </c>
      <c r="B20" s="677" t="s">
        <v>597</v>
      </c>
      <c r="C20" s="708">
        <v>4.5948999999999997E-2</v>
      </c>
      <c r="D20" s="709">
        <v>0.27778000000000003</v>
      </c>
      <c r="E20" s="701">
        <f t="shared" si="0"/>
        <v>1.276371322E-2</v>
      </c>
    </row>
    <row r="21" spans="1:10">
      <c r="A21" s="685" t="s">
        <v>607</v>
      </c>
      <c r="B21" s="677" t="s">
        <v>598</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602</v>
      </c>
      <c r="B24" s="679"/>
      <c r="C24" s="679"/>
      <c r="D24" s="679"/>
      <c r="E24" s="680"/>
    </row>
    <row r="25" spans="1:10">
      <c r="A25" s="705" t="s">
        <v>394</v>
      </c>
      <c r="B25" s="683" t="s">
        <v>669</v>
      </c>
      <c r="C25" s="683"/>
      <c r="D25" s="683"/>
      <c r="E25" s="684"/>
    </row>
    <row r="26" spans="1:10">
      <c r="A26" s="44"/>
      <c r="B26" s="43"/>
      <c r="C26" s="43"/>
      <c r="D26" s="43"/>
      <c r="E26" s="96"/>
    </row>
    <row r="27" spans="1:10" s="334" customFormat="1">
      <c r="A27" s="682" t="s">
        <v>605</v>
      </c>
      <c r="B27" s="690" t="s">
        <v>594</v>
      </c>
      <c r="C27" s="698"/>
      <c r="D27" s="697"/>
      <c r="E27" s="713" t="s">
        <v>609</v>
      </c>
    </row>
    <row r="28" spans="1:10">
      <c r="A28" s="685" t="s">
        <v>202</v>
      </c>
      <c r="B28" s="677" t="s">
        <v>596</v>
      </c>
      <c r="C28" s="699"/>
      <c r="D28" s="700"/>
      <c r="E28" s="707">
        <f>E29*0.853</f>
        <v>1.0116343055555555E-2</v>
      </c>
      <c r="G28" s="681"/>
      <c r="H28" s="853"/>
      <c r="I28" s="853"/>
      <c r="J28" s="853"/>
    </row>
    <row r="29" spans="1:10">
      <c r="A29" s="685" t="s">
        <v>202</v>
      </c>
      <c r="B29" s="677" t="s">
        <v>597</v>
      </c>
      <c r="C29" s="699"/>
      <c r="D29" s="700"/>
      <c r="E29" s="707">
        <f>0.042695/3.6</f>
        <v>1.1859722222222221E-2</v>
      </c>
      <c r="F29" s="983"/>
      <c r="G29" s="681"/>
      <c r="H29" s="853"/>
      <c r="I29" s="853"/>
      <c r="J29" s="853"/>
    </row>
    <row r="30" spans="1:10">
      <c r="A30" s="685" t="s">
        <v>120</v>
      </c>
      <c r="B30" s="677" t="s">
        <v>596</v>
      </c>
      <c r="C30" s="699"/>
      <c r="D30" s="700"/>
      <c r="E30" s="707">
        <f>E31*0.755</f>
        <v>9.1803805555555566E-3</v>
      </c>
      <c r="H30" s="853"/>
      <c r="I30" s="853"/>
      <c r="J30" s="853"/>
    </row>
    <row r="31" spans="1:10">
      <c r="A31" s="685" t="s">
        <v>120</v>
      </c>
      <c r="B31" s="677" t="s">
        <v>597</v>
      </c>
      <c r="C31" s="699"/>
      <c r="D31" s="700"/>
      <c r="E31" s="707">
        <f>0.043774/3.6</f>
        <v>1.2159444444444445E-2</v>
      </c>
      <c r="H31" s="853"/>
      <c r="I31" s="853"/>
      <c r="J31" s="853"/>
    </row>
    <row r="32" spans="1:10">
      <c r="A32" s="685" t="s">
        <v>607</v>
      </c>
      <c r="B32" s="677" t="s">
        <v>596</v>
      </c>
      <c r="C32" s="699"/>
      <c r="D32" s="700"/>
      <c r="E32" s="707">
        <f>E33*0.55</f>
        <v>7.1139444444444453E-3</v>
      </c>
      <c r="H32" s="853"/>
    </row>
    <row r="33" spans="1:8">
      <c r="A33" s="685" t="s">
        <v>607</v>
      </c>
      <c r="B33" s="677" t="s">
        <v>597</v>
      </c>
      <c r="C33" s="699"/>
      <c r="D33" s="700"/>
      <c r="E33" s="707">
        <f>0.046564/3.6</f>
        <v>1.2934444444444445E-2</v>
      </c>
      <c r="H33" s="853"/>
    </row>
    <row r="34" spans="1:8">
      <c r="A34" s="685" t="s">
        <v>608</v>
      </c>
      <c r="B34" s="677" t="s">
        <v>596</v>
      </c>
      <c r="C34" s="699"/>
      <c r="D34" s="700"/>
      <c r="E34" s="707">
        <f>E35*0.0007</f>
        <v>9.3333333333333326E-6</v>
      </c>
      <c r="H34" s="853"/>
    </row>
    <row r="35" spans="1:8">
      <c r="A35" s="685" t="s">
        <v>608</v>
      </c>
      <c r="B35" s="677" t="s">
        <v>597</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621</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688</v>
      </c>
      <c r="C21" s="131" t="s">
        <v>589</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71022</v>
      </c>
      <c r="B1" s="332"/>
      <c r="C1" s="332"/>
      <c r="D1" s="332"/>
      <c r="E1" s="332"/>
      <c r="F1" s="333"/>
    </row>
    <row r="3" spans="1:6" ht="19.5">
      <c r="A3" s="335" t="s">
        <v>0</v>
      </c>
    </row>
    <row r="4" spans="1:6" ht="22.5">
      <c r="A4" s="1282" t="s">
        <v>558</v>
      </c>
    </row>
    <row r="5" spans="1:6" ht="22.5">
      <c r="A5" s="1282" t="s">
        <v>559</v>
      </c>
    </row>
    <row r="6" spans="1:6" ht="15.75" thickBot="1"/>
    <row r="7" spans="1:6" ht="20.25" thickBot="1">
      <c r="A7" s="336" t="s">
        <v>1</v>
      </c>
      <c r="B7" s="337" t="s">
        <v>394</v>
      </c>
      <c r="C7" s="337" t="s">
        <v>711</v>
      </c>
      <c r="D7" s="337"/>
      <c r="E7" s="337"/>
      <c r="F7" s="338"/>
    </row>
    <row r="8" spans="1:6" ht="16.5" thickTop="1" thickBot="1">
      <c r="A8" s="339" t="s">
        <v>4</v>
      </c>
      <c r="B8" s="340">
        <v>2014</v>
      </c>
      <c r="C8" s="340">
        <v>2020</v>
      </c>
      <c r="D8" s="332"/>
      <c r="E8" s="332"/>
      <c r="F8" s="333"/>
    </row>
    <row r="9" spans="1:6">
      <c r="A9" s="341" t="s">
        <v>2</v>
      </c>
      <c r="B9" s="342">
        <v>34440</v>
      </c>
      <c r="C9" s="342">
        <v>36094</v>
      </c>
      <c r="D9" s="342"/>
      <c r="E9" s="342"/>
      <c r="F9" s="342"/>
    </row>
    <row r="10" spans="1:6">
      <c r="A10" s="343"/>
    </row>
    <row r="11" spans="1:6" ht="15.75" thickBot="1">
      <c r="A11" s="343"/>
    </row>
    <row r="12" spans="1:6" ht="20.25" thickBot="1">
      <c r="A12" s="336" t="s">
        <v>3</v>
      </c>
      <c r="B12" s="337" t="s">
        <v>394</v>
      </c>
      <c r="C12" s="337" t="s">
        <v>741</v>
      </c>
      <c r="D12" s="337"/>
      <c r="E12" s="337"/>
      <c r="F12" s="344"/>
    </row>
    <row r="13" spans="1:6" ht="16.5" thickTop="1" thickBot="1">
      <c r="A13" s="345" t="s">
        <v>4</v>
      </c>
      <c r="B13" s="346" t="s">
        <v>5</v>
      </c>
      <c r="C13" s="346"/>
      <c r="D13" s="346"/>
      <c r="E13" s="346"/>
      <c r="F13" s="347"/>
    </row>
    <row r="14" spans="1:6">
      <c r="A14" s="348" t="s">
        <v>748</v>
      </c>
      <c r="B14" s="334">
        <v>3070</v>
      </c>
    </row>
    <row r="15" spans="1:6">
      <c r="A15" s="348" t="s">
        <v>184</v>
      </c>
      <c r="B15" s="334">
        <v>3685</v>
      </c>
    </row>
    <row r="16" spans="1:6">
      <c r="A16" s="348" t="s">
        <v>6</v>
      </c>
      <c r="B16" s="334">
        <v>531</v>
      </c>
    </row>
    <row r="17" spans="1:6">
      <c r="A17" s="348" t="s">
        <v>7</v>
      </c>
      <c r="B17" s="334">
        <v>356</v>
      </c>
    </row>
    <row r="18" spans="1:6">
      <c r="A18" s="348" t="s">
        <v>8</v>
      </c>
      <c r="B18" s="334">
        <v>589</v>
      </c>
    </row>
    <row r="19" spans="1:6">
      <c r="A19" s="348" t="s">
        <v>9</v>
      </c>
      <c r="B19" s="334">
        <v>537</v>
      </c>
    </row>
    <row r="20" spans="1:6">
      <c r="A20" s="348" t="s">
        <v>10</v>
      </c>
      <c r="B20" s="334">
        <v>524</v>
      </c>
    </row>
    <row r="21" spans="1:6">
      <c r="A21" s="348" t="s">
        <v>11</v>
      </c>
      <c r="B21" s="334">
        <v>1096</v>
      </c>
    </row>
    <row r="22" spans="1:6">
      <c r="A22" s="348" t="s">
        <v>12</v>
      </c>
      <c r="B22" s="334">
        <v>3811</v>
      </c>
    </row>
    <row r="23" spans="1:6">
      <c r="A23" s="348" t="s">
        <v>13</v>
      </c>
      <c r="B23" s="334">
        <v>42</v>
      </c>
    </row>
    <row r="24" spans="1:6">
      <c r="A24" s="348" t="s">
        <v>14</v>
      </c>
      <c r="B24" s="334">
        <v>3</v>
      </c>
    </row>
    <row r="25" spans="1:6">
      <c r="A25" s="348" t="s">
        <v>15</v>
      </c>
      <c r="B25" s="334">
        <v>337</v>
      </c>
    </row>
    <row r="26" spans="1:6">
      <c r="A26" s="348" t="s">
        <v>16</v>
      </c>
      <c r="B26" s="334">
        <v>1044</v>
      </c>
    </row>
    <row r="27" spans="1:6">
      <c r="A27" s="348" t="s">
        <v>17</v>
      </c>
      <c r="B27" s="334">
        <v>325</v>
      </c>
    </row>
    <row r="28" spans="1:6" s="356" customFormat="1">
      <c r="A28" s="355" t="s">
        <v>18</v>
      </c>
      <c r="B28" s="355">
        <v>48401</v>
      </c>
    </row>
    <row r="29" spans="1:6">
      <c r="A29" s="355" t="s">
        <v>865</v>
      </c>
      <c r="B29" s="355">
        <v>471</v>
      </c>
      <c r="C29" s="356"/>
      <c r="D29" s="356"/>
      <c r="E29" s="356"/>
      <c r="F29" s="356"/>
    </row>
    <row r="30" spans="1:6">
      <c r="A30" s="341" t="s">
        <v>866</v>
      </c>
      <c r="B30" s="341">
        <v>148</v>
      </c>
      <c r="C30" s="342"/>
      <c r="D30" s="342"/>
      <c r="E30" s="342"/>
      <c r="F30" s="342"/>
    </row>
    <row r="31" spans="1:6" ht="15.75" thickBot="1">
      <c r="A31" s="343"/>
    </row>
    <row r="32" spans="1:6" ht="20.25" thickBot="1">
      <c r="A32" s="336" t="s">
        <v>19</v>
      </c>
      <c r="B32" s="337" t="s">
        <v>394</v>
      </c>
      <c r="C32" s="337" t="s">
        <v>704</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59</v>
      </c>
      <c r="D36" s="334">
        <v>15734597</v>
      </c>
      <c r="E36" s="334">
        <v>48</v>
      </c>
      <c r="F36" s="334">
        <v>3570858</v>
      </c>
    </row>
    <row r="37" spans="1:6">
      <c r="A37" s="348" t="s">
        <v>25</v>
      </c>
      <c r="B37" s="348" t="s">
        <v>28</v>
      </c>
      <c r="C37" s="334">
        <v>0</v>
      </c>
      <c r="D37" s="334">
        <v>0</v>
      </c>
      <c r="E37" s="334">
        <v>3</v>
      </c>
      <c r="F37" s="334">
        <v>78596</v>
      </c>
    </row>
    <row r="38" spans="1:6">
      <c r="A38" s="348" t="s">
        <v>25</v>
      </c>
      <c r="B38" s="348" t="s">
        <v>29</v>
      </c>
      <c r="C38" s="334">
        <v>2</v>
      </c>
      <c r="D38" s="334">
        <v>3053706</v>
      </c>
      <c r="E38" s="334">
        <v>2</v>
      </c>
      <c r="F38" s="334">
        <v>593445</v>
      </c>
    </row>
    <row r="39" spans="1:6">
      <c r="A39" s="348" t="s">
        <v>30</v>
      </c>
      <c r="B39" s="348" t="s">
        <v>31</v>
      </c>
      <c r="C39" s="334">
        <v>22541</v>
      </c>
      <c r="D39" s="334">
        <v>352502323</v>
      </c>
      <c r="E39" s="334">
        <v>34745</v>
      </c>
      <c r="F39" s="334">
        <v>118571288</v>
      </c>
    </row>
    <row r="40" spans="1:6">
      <c r="A40" s="348" t="s">
        <v>30</v>
      </c>
      <c r="B40" s="348" t="s">
        <v>29</v>
      </c>
      <c r="C40" s="334">
        <v>0</v>
      </c>
      <c r="D40" s="334">
        <v>0</v>
      </c>
      <c r="E40" s="334">
        <v>0</v>
      </c>
      <c r="F40" s="334">
        <v>0</v>
      </c>
    </row>
    <row r="41" spans="1:6">
      <c r="A41" s="348" t="s">
        <v>32</v>
      </c>
      <c r="B41" s="348" t="s">
        <v>33</v>
      </c>
      <c r="C41" s="334">
        <v>294</v>
      </c>
      <c r="D41" s="334">
        <v>17510452</v>
      </c>
      <c r="E41" s="334">
        <v>657</v>
      </c>
      <c r="F41" s="334">
        <v>31497716</v>
      </c>
    </row>
    <row r="42" spans="1:6">
      <c r="A42" s="348" t="s">
        <v>32</v>
      </c>
      <c r="B42" s="348" t="s">
        <v>34</v>
      </c>
      <c r="C42" s="334">
        <v>5</v>
      </c>
      <c r="D42" s="334">
        <v>700572</v>
      </c>
      <c r="E42" s="334">
        <v>10</v>
      </c>
      <c r="F42" s="334">
        <v>1756834</v>
      </c>
    </row>
    <row r="43" spans="1:6">
      <c r="A43" s="348" t="s">
        <v>32</v>
      </c>
      <c r="B43" s="348" t="s">
        <v>35</v>
      </c>
      <c r="C43" s="334">
        <v>0</v>
      </c>
      <c r="D43" s="334">
        <v>0</v>
      </c>
      <c r="E43" s="334">
        <v>0</v>
      </c>
      <c r="F43" s="334">
        <v>0</v>
      </c>
    </row>
    <row r="44" spans="1:6">
      <c r="A44" s="348" t="s">
        <v>32</v>
      </c>
      <c r="B44" s="348" t="s">
        <v>36</v>
      </c>
      <c r="C44" s="334">
        <v>25</v>
      </c>
      <c r="D44" s="334">
        <v>4912564</v>
      </c>
      <c r="E44" s="334">
        <v>83</v>
      </c>
      <c r="F44" s="334">
        <v>3807842</v>
      </c>
    </row>
    <row r="45" spans="1:6">
      <c r="A45" s="348" t="s">
        <v>32</v>
      </c>
      <c r="B45" s="348" t="s">
        <v>37</v>
      </c>
      <c r="C45" s="334">
        <v>10</v>
      </c>
      <c r="D45" s="334">
        <v>40481188</v>
      </c>
      <c r="E45" s="334">
        <v>17</v>
      </c>
      <c r="F45" s="334">
        <v>11226916</v>
      </c>
    </row>
    <row r="46" spans="1:6">
      <c r="A46" s="348" t="s">
        <v>32</v>
      </c>
      <c r="B46" s="348" t="s">
        <v>38</v>
      </c>
      <c r="C46" s="334">
        <v>0</v>
      </c>
      <c r="D46" s="334">
        <v>0</v>
      </c>
      <c r="E46" s="334">
        <v>0</v>
      </c>
      <c r="F46" s="334">
        <v>0</v>
      </c>
    </row>
    <row r="47" spans="1:6">
      <c r="A47" s="348" t="s">
        <v>32</v>
      </c>
      <c r="B47" s="348" t="s">
        <v>39</v>
      </c>
      <c r="C47" s="334">
        <v>13</v>
      </c>
      <c r="D47" s="334">
        <v>3171503</v>
      </c>
      <c r="E47" s="334">
        <v>20</v>
      </c>
      <c r="F47" s="334">
        <v>3815575</v>
      </c>
    </row>
    <row r="48" spans="1:6">
      <c r="A48" s="348" t="s">
        <v>32</v>
      </c>
      <c r="B48" s="348" t="s">
        <v>29</v>
      </c>
      <c r="C48" s="334">
        <v>1</v>
      </c>
      <c r="D48" s="334">
        <v>33754</v>
      </c>
      <c r="E48" s="334">
        <v>2</v>
      </c>
      <c r="F48" s="334">
        <v>69139</v>
      </c>
    </row>
    <row r="49" spans="1:6">
      <c r="A49" s="348" t="s">
        <v>32</v>
      </c>
      <c r="B49" s="348" t="s">
        <v>40</v>
      </c>
      <c r="C49" s="334">
        <v>12</v>
      </c>
      <c r="D49" s="334">
        <v>311670</v>
      </c>
      <c r="E49" s="334">
        <v>18</v>
      </c>
      <c r="F49" s="334">
        <v>405360</v>
      </c>
    </row>
    <row r="50" spans="1:6">
      <c r="A50" s="348" t="s">
        <v>32</v>
      </c>
      <c r="B50" s="348" t="s">
        <v>41</v>
      </c>
      <c r="C50" s="334">
        <v>47</v>
      </c>
      <c r="D50" s="334">
        <v>11587745</v>
      </c>
      <c r="E50" s="334">
        <v>78</v>
      </c>
      <c r="F50" s="334">
        <v>11009550</v>
      </c>
    </row>
    <row r="51" spans="1:6">
      <c r="A51" s="348" t="s">
        <v>42</v>
      </c>
      <c r="B51" s="348" t="s">
        <v>43</v>
      </c>
      <c r="C51" s="334">
        <v>31</v>
      </c>
      <c r="D51" s="334">
        <v>2725147</v>
      </c>
      <c r="E51" s="334">
        <v>118</v>
      </c>
      <c r="F51" s="334">
        <v>1979689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368</v>
      </c>
      <c r="F54" s="334">
        <v>5102210</v>
      </c>
    </row>
    <row r="55" spans="1:6">
      <c r="A55" s="348" t="s">
        <v>46</v>
      </c>
      <c r="B55" s="348" t="s">
        <v>29</v>
      </c>
      <c r="C55" s="334">
        <v>0</v>
      </c>
      <c r="D55" s="334">
        <v>0</v>
      </c>
      <c r="E55" s="334">
        <v>0</v>
      </c>
      <c r="F55" s="334">
        <v>0</v>
      </c>
    </row>
    <row r="56" spans="1:6">
      <c r="A56" s="348" t="s">
        <v>48</v>
      </c>
      <c r="B56" s="348" t="s">
        <v>29</v>
      </c>
      <c r="C56" s="334">
        <v>436</v>
      </c>
      <c r="D56" s="334">
        <v>18298882</v>
      </c>
      <c r="E56" s="334">
        <v>1188</v>
      </c>
      <c r="F56" s="334">
        <v>5703417</v>
      </c>
    </row>
    <row r="57" spans="1:6">
      <c r="A57" s="348" t="s">
        <v>49</v>
      </c>
      <c r="B57" s="348" t="s">
        <v>50</v>
      </c>
      <c r="C57" s="334">
        <v>278</v>
      </c>
      <c r="D57" s="334">
        <v>21530185</v>
      </c>
      <c r="E57" s="334">
        <v>552</v>
      </c>
      <c r="F57" s="334">
        <v>16112987</v>
      </c>
    </row>
    <row r="58" spans="1:6">
      <c r="A58" s="348" t="s">
        <v>49</v>
      </c>
      <c r="B58" s="348" t="s">
        <v>51</v>
      </c>
      <c r="C58" s="334">
        <v>217</v>
      </c>
      <c r="D58" s="334">
        <v>32260768</v>
      </c>
      <c r="E58" s="334">
        <v>317</v>
      </c>
      <c r="F58" s="334">
        <v>18793667</v>
      </c>
    </row>
    <row r="59" spans="1:6">
      <c r="A59" s="348" t="s">
        <v>49</v>
      </c>
      <c r="B59" s="348" t="s">
        <v>52</v>
      </c>
      <c r="C59" s="334">
        <v>725</v>
      </c>
      <c r="D59" s="334">
        <v>38373284</v>
      </c>
      <c r="E59" s="334">
        <v>1382</v>
      </c>
      <c r="F59" s="334">
        <v>62492659</v>
      </c>
    </row>
    <row r="60" spans="1:6">
      <c r="A60" s="348" t="s">
        <v>49</v>
      </c>
      <c r="B60" s="348" t="s">
        <v>53</v>
      </c>
      <c r="C60" s="334">
        <v>305</v>
      </c>
      <c r="D60" s="334">
        <v>20672322</v>
      </c>
      <c r="E60" s="334">
        <v>419</v>
      </c>
      <c r="F60" s="334">
        <v>18066850</v>
      </c>
    </row>
    <row r="61" spans="1:6">
      <c r="A61" s="348" t="s">
        <v>49</v>
      </c>
      <c r="B61" s="348" t="s">
        <v>54</v>
      </c>
      <c r="C61" s="334">
        <v>1053</v>
      </c>
      <c r="D61" s="334">
        <v>79364494</v>
      </c>
      <c r="E61" s="334">
        <v>2486</v>
      </c>
      <c r="F61" s="334">
        <v>71177355.512522757</v>
      </c>
    </row>
    <row r="62" spans="1:6">
      <c r="A62" s="348" t="s">
        <v>49</v>
      </c>
      <c r="B62" s="348" t="s">
        <v>55</v>
      </c>
      <c r="C62" s="334">
        <v>88</v>
      </c>
      <c r="D62" s="334">
        <v>23010898</v>
      </c>
      <c r="E62" s="334">
        <v>98</v>
      </c>
      <c r="F62" s="334">
        <v>8518507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1266423</v>
      </c>
      <c r="E65" s="334">
        <v>0</v>
      </c>
      <c r="F65" s="334">
        <v>0</v>
      </c>
    </row>
    <row r="66" spans="1:6">
      <c r="A66" s="348" t="s">
        <v>56</v>
      </c>
      <c r="B66" s="348" t="s">
        <v>58</v>
      </c>
      <c r="C66" s="334">
        <v>3</v>
      </c>
      <c r="D66" s="334">
        <v>52093</v>
      </c>
      <c r="E66" s="334">
        <v>3</v>
      </c>
      <c r="F66" s="334">
        <v>46198</v>
      </c>
    </row>
    <row r="67" spans="1:6">
      <c r="A67" s="355" t="s">
        <v>56</v>
      </c>
      <c r="B67" s="355" t="s">
        <v>59</v>
      </c>
      <c r="C67" s="334">
        <v>0</v>
      </c>
      <c r="D67" s="334">
        <v>0</v>
      </c>
      <c r="E67" s="334">
        <v>0</v>
      </c>
      <c r="F67" s="334">
        <v>0</v>
      </c>
    </row>
    <row r="68" spans="1:6">
      <c r="A68" s="341" t="s">
        <v>56</v>
      </c>
      <c r="B68" s="341" t="s">
        <v>60</v>
      </c>
      <c r="C68" s="334">
        <v>21</v>
      </c>
      <c r="D68" s="334">
        <v>2001806</v>
      </c>
      <c r="E68" s="334">
        <v>37</v>
      </c>
      <c r="F68" s="334">
        <v>1042127</v>
      </c>
    </row>
    <row r="69" spans="1:6" ht="15.75" thickBot="1">
      <c r="A69" s="343"/>
    </row>
    <row r="70" spans="1:6" ht="19.5">
      <c r="A70" s="336" t="s">
        <v>61</v>
      </c>
      <c r="B70" s="337"/>
      <c r="C70" s="337" t="s">
        <v>408</v>
      </c>
      <c r="D70" s="337" t="s">
        <v>758</v>
      </c>
      <c r="E70" s="337"/>
      <c r="F70" s="344"/>
    </row>
    <row r="71" spans="1:6" ht="20.25" thickBot="1">
      <c r="A71" s="357"/>
      <c r="B71" s="358"/>
      <c r="C71" s="358"/>
      <c r="D71" s="359" t="s">
        <v>448</v>
      </c>
      <c r="E71" s="358"/>
      <c r="F71" s="360"/>
    </row>
    <row r="72" spans="1:6" ht="16.5" thickTop="1" thickBot="1">
      <c r="A72" s="345" t="s">
        <v>62</v>
      </c>
      <c r="B72" s="346" t="s">
        <v>63</v>
      </c>
      <c r="C72" s="1283" t="s">
        <v>733</v>
      </c>
      <c r="D72" s="361">
        <v>2014</v>
      </c>
      <c r="E72" s="361">
        <v>2020</v>
      </c>
      <c r="F72" s="347"/>
    </row>
    <row r="73" spans="1:6">
      <c r="A73" s="348" t="s">
        <v>64</v>
      </c>
      <c r="B73" s="348" t="s">
        <v>715</v>
      </c>
      <c r="C73" s="1288" t="s">
        <v>717</v>
      </c>
      <c r="D73" s="477">
        <v>359573885</v>
      </c>
      <c r="E73" s="477">
        <v>465643721.14458215</v>
      </c>
    </row>
    <row r="74" spans="1:6">
      <c r="A74" s="348" t="s">
        <v>64</v>
      </c>
      <c r="B74" s="348" t="s">
        <v>716</v>
      </c>
      <c r="C74" s="1288" t="s">
        <v>718</v>
      </c>
      <c r="D74" s="477">
        <v>25692954.414576758</v>
      </c>
      <c r="E74" s="477">
        <v>31153518.472615205</v>
      </c>
    </row>
    <row r="75" spans="1:6">
      <c r="A75" s="348" t="s">
        <v>65</v>
      </c>
      <c r="B75" s="348" t="s">
        <v>715</v>
      </c>
      <c r="C75" s="1288" t="s">
        <v>719</v>
      </c>
      <c r="D75" s="477">
        <v>98575302</v>
      </c>
      <c r="E75" s="477">
        <v>132782186.18107045</v>
      </c>
    </row>
    <row r="76" spans="1:6">
      <c r="A76" s="348" t="s">
        <v>65</v>
      </c>
      <c r="B76" s="348" t="s">
        <v>716</v>
      </c>
      <c r="C76" s="1288" t="s">
        <v>720</v>
      </c>
      <c r="D76" s="477">
        <v>259525</v>
      </c>
      <c r="E76" s="477">
        <v>781028.01626734482</v>
      </c>
    </row>
    <row r="77" spans="1:6">
      <c r="A77" s="348" t="s">
        <v>66</v>
      </c>
      <c r="B77" s="348" t="s">
        <v>715</v>
      </c>
      <c r="C77" s="1288" t="s">
        <v>721</v>
      </c>
      <c r="D77" s="477">
        <v>214212155</v>
      </c>
      <c r="E77" s="477">
        <v>229387139.12407723</v>
      </c>
    </row>
    <row r="78" spans="1:6">
      <c r="A78" s="341" t="s">
        <v>66</v>
      </c>
      <c r="B78" s="341" t="s">
        <v>716</v>
      </c>
      <c r="C78" s="341" t="s">
        <v>722</v>
      </c>
      <c r="D78" s="1284">
        <v>22720485</v>
      </c>
      <c r="E78" s="1284">
        <v>24059922.493268732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4843003.1708464846</v>
      </c>
      <c r="C83" s="477">
        <v>4760445.0188903017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560</v>
      </c>
      <c r="B89" s="334">
        <v>0</v>
      </c>
    </row>
    <row r="90" spans="1:6">
      <c r="A90" s="348" t="s">
        <v>561</v>
      </c>
      <c r="B90" s="1285">
        <v>15066.689400527019</v>
      </c>
    </row>
    <row r="91" spans="1:6">
      <c r="A91" s="348" t="s">
        <v>68</v>
      </c>
      <c r="B91" s="334">
        <v>13363.886002093603</v>
      </c>
    </row>
    <row r="92" spans="1:6">
      <c r="A92" s="341" t="s">
        <v>69</v>
      </c>
      <c r="B92" s="342">
        <v>10433.37001814812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12607</v>
      </c>
    </row>
    <row r="98" spans="1:6">
      <c r="A98" s="348" t="s">
        <v>72</v>
      </c>
      <c r="B98" s="334">
        <v>2</v>
      </c>
    </row>
    <row r="99" spans="1:6">
      <c r="A99" s="348" t="s">
        <v>73</v>
      </c>
      <c r="B99" s="334">
        <v>137</v>
      </c>
    </row>
    <row r="100" spans="1:6">
      <c r="A100" s="348" t="s">
        <v>74</v>
      </c>
      <c r="B100" s="334">
        <v>1808</v>
      </c>
    </row>
    <row r="101" spans="1:6">
      <c r="A101" s="348" t="s">
        <v>75</v>
      </c>
      <c r="B101" s="334">
        <v>132</v>
      </c>
    </row>
    <row r="102" spans="1:6">
      <c r="A102" s="348" t="s">
        <v>76</v>
      </c>
      <c r="B102" s="334">
        <v>416</v>
      </c>
    </row>
    <row r="103" spans="1:6">
      <c r="A103" s="348" t="s">
        <v>77</v>
      </c>
      <c r="B103" s="334">
        <v>298</v>
      </c>
    </row>
    <row r="104" spans="1:6">
      <c r="A104" s="348" t="s">
        <v>78</v>
      </c>
      <c r="B104" s="334">
        <v>12509</v>
      </c>
    </row>
    <row r="105" spans="1:6">
      <c r="A105" s="341" t="s">
        <v>79</v>
      </c>
      <c r="B105" s="341">
        <v>11</v>
      </c>
      <c r="C105" s="342"/>
      <c r="D105" s="342"/>
      <c r="E105" s="342"/>
      <c r="F105" s="342"/>
    </row>
    <row r="106" spans="1:6">
      <c r="A106" s="343"/>
    </row>
    <row r="107" spans="1:6" ht="15.75" thickBot="1">
      <c r="A107" s="343"/>
    </row>
    <row r="108" spans="1:6" ht="20.25" thickBot="1">
      <c r="A108" s="336" t="s">
        <v>663</v>
      </c>
      <c r="B108" s="337" t="s">
        <v>394</v>
      </c>
      <c r="C108" s="337" t="s">
        <v>869</v>
      </c>
      <c r="D108" s="337"/>
      <c r="E108" s="337"/>
      <c r="F108" s="344"/>
    </row>
    <row r="109" spans="1:6" ht="16.5" thickTop="1" thickBot="1">
      <c r="A109" s="345" t="s">
        <v>4</v>
      </c>
      <c r="B109" s="346" t="s">
        <v>5</v>
      </c>
      <c r="C109" s="346"/>
      <c r="D109" s="346"/>
      <c r="E109" s="346"/>
      <c r="F109" s="347"/>
    </row>
    <row r="110" spans="1:6">
      <c r="A110" s="348" t="s">
        <v>664</v>
      </c>
      <c r="B110" s="334">
        <v>0</v>
      </c>
    </row>
    <row r="111" spans="1:6">
      <c r="A111" s="1286" t="s">
        <v>665</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136</v>
      </c>
    </row>
    <row r="124" spans="1:6">
      <c r="A124" s="341" t="s">
        <v>89</v>
      </c>
      <c r="B124" s="334">
        <v>3</v>
      </c>
      <c r="C124" s="334">
        <v>9</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438</v>
      </c>
    </row>
    <row r="130" spans="1:6">
      <c r="A130" s="348" t="s">
        <v>295</v>
      </c>
      <c r="B130" s="334">
        <v>6</v>
      </c>
    </row>
    <row r="131" spans="1:6">
      <c r="A131" s="348" t="s">
        <v>296</v>
      </c>
      <c r="B131" s="334">
        <v>8</v>
      </c>
    </row>
    <row r="132" spans="1:6">
      <c r="A132" s="341" t="s">
        <v>297</v>
      </c>
      <c r="B132" s="342">
        <v>57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689</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689</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690</v>
      </c>
      <c r="B44" s="537"/>
      <c r="E44" s="681"/>
      <c r="F44" s="681"/>
    </row>
    <row r="45" spans="1:14">
      <c r="A45" s="44"/>
      <c r="B45" s="537"/>
      <c r="E45" s="681"/>
      <c r="F45" s="681"/>
    </row>
    <row r="46" spans="1:14" ht="18">
      <c r="A46" s="137" t="s">
        <v>190</v>
      </c>
      <c r="B46" s="538" t="s">
        <v>587</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638</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691</v>
      </c>
    </row>
    <row r="5" spans="1:3" ht="15.75" thickBot="1">
      <c r="A5" s="1005" t="s">
        <v>637</v>
      </c>
      <c r="B5" s="1006">
        <v>673536</v>
      </c>
      <c r="C5" s="1007" t="s">
        <v>741</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401329.4550039859</v>
      </c>
      <c r="C3" s="43" t="s">
        <v>170</v>
      </c>
      <c r="D3" s="43"/>
      <c r="E3" s="154"/>
      <c r="F3" s="43"/>
      <c r="G3" s="43"/>
      <c r="H3" s="43"/>
      <c r="I3" s="43"/>
      <c r="J3" s="43"/>
      <c r="K3" s="96"/>
    </row>
    <row r="4" spans="1:11">
      <c r="A4" s="384" t="s">
        <v>171</v>
      </c>
      <c r="B4" s="49">
        <f>IF(ISERROR('SEAP template'!B69),0,'SEAP template'!B69)</f>
        <v>42333.220420768739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800</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530.37476470588251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0.19900991968507181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757.67823529411783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3188.25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733</v>
      </c>
      <c r="B1" s="960" t="s">
        <v>308</v>
      </c>
      <c r="C1" s="960" t="s">
        <v>312</v>
      </c>
      <c r="D1" s="960" t="s">
        <v>313</v>
      </c>
      <c r="E1" s="960" t="s">
        <v>314</v>
      </c>
      <c r="F1" s="960" t="s">
        <v>315</v>
      </c>
      <c r="H1" s="1004" t="s">
        <v>749</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731</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731</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731</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731</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715</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715</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715</v>
      </c>
      <c r="C9" s="316" t="s">
        <v>64</v>
      </c>
      <c r="D9" s="316" t="s">
        <v>666</v>
      </c>
      <c r="E9" s="316" t="s">
        <v>666</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715</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715</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715</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715</v>
      </c>
      <c r="C13" s="316" t="s">
        <v>64</v>
      </c>
      <c r="D13" s="316" t="s">
        <v>750</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715</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715</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715</v>
      </c>
      <c r="C16" s="316" t="s">
        <v>65</v>
      </c>
      <c r="D16" s="316" t="s">
        <v>666</v>
      </c>
      <c r="E16" s="316" t="s">
        <v>666</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715</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715</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715</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715</v>
      </c>
      <c r="C20" s="316" t="s">
        <v>65</v>
      </c>
      <c r="D20" s="316" t="s">
        <v>750</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715</v>
      </c>
      <c r="C21" s="316" t="s">
        <v>732</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715</v>
      </c>
      <c r="C22" s="316" t="s">
        <v>732</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715</v>
      </c>
      <c r="C23" s="316" t="s">
        <v>732</v>
      </c>
      <c r="D23" s="316" t="s">
        <v>666</v>
      </c>
      <c r="E23" s="316" t="s">
        <v>666</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715</v>
      </c>
      <c r="C24" s="316" t="s">
        <v>732</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715</v>
      </c>
      <c r="C25" s="316" t="s">
        <v>732</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715</v>
      </c>
      <c r="C26" s="316" t="s">
        <v>732</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715</v>
      </c>
      <c r="C27" s="316" t="s">
        <v>732</v>
      </c>
      <c r="D27" s="316" t="s">
        <v>750</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716</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716</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716</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716</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716</v>
      </c>
      <c r="C32" s="316" t="s">
        <v>732</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716</v>
      </c>
      <c r="C33" s="316" t="s">
        <v>732</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703</v>
      </c>
      <c r="B6" s="440" t="s">
        <v>702</v>
      </c>
      <c r="C6" s="441" t="s">
        <v>358</v>
      </c>
    </row>
    <row r="7" spans="1:3" s="334" customFormat="1">
      <c r="A7" s="994" t="s">
        <v>701</v>
      </c>
      <c r="B7" s="442" t="s">
        <v>614</v>
      </c>
      <c r="C7" s="443" t="s">
        <v>613</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747</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674</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5102.21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5102.21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0.19900991968507181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1015.3904023163702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118571.288</v>
      </c>
      <c r="C5" s="17">
        <f>IF(ISERROR('Eigen informatie GS &amp; warmtenet'!B57),0,'Eigen informatie GS &amp; warmtenet'!B57)</f>
        <v>0</v>
      </c>
      <c r="D5" s="30">
        <f>(SUM(HH_hh_gas_kWh,HH_rest_gas_kWh)/1000)*0.902</f>
        <v>317957.09534599999</v>
      </c>
      <c r="E5" s="17">
        <f>B46*B57</f>
        <v>8077.6214814373816</v>
      </c>
      <c r="F5" s="17">
        <f>B51*B62</f>
        <v>87841.468464707868</v>
      </c>
      <c r="G5" s="18"/>
      <c r="H5" s="17"/>
      <c r="I5" s="17"/>
      <c r="J5" s="17">
        <f>B50*B61+C50*C61</f>
        <v>0</v>
      </c>
      <c r="K5" s="17"/>
      <c r="L5" s="17"/>
      <c r="M5" s="17"/>
      <c r="N5" s="17">
        <f>B48*B59+C48*C59</f>
        <v>29514.474074388629</v>
      </c>
      <c r="O5" s="17">
        <f>B69*B70*B71</f>
        <v>911.42333333333329</v>
      </c>
      <c r="P5" s="17">
        <f>B77*B78*B79/1000-B77*B78*B79/1000/B80</f>
        <v>2345.1999999999998</v>
      </c>
    </row>
    <row r="6" spans="1:16">
      <c r="A6" s="16" t="s">
        <v>633</v>
      </c>
      <c r="B6" s="844">
        <f>kWh_PV_kleiner_dan_10kW</f>
        <v>13363.886002093603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131935.17400209361</v>
      </c>
      <c r="C8" s="21">
        <f>C5</f>
        <v>0</v>
      </c>
      <c r="D8" s="21">
        <f>D5</f>
        <v>317957.09534599999</v>
      </c>
      <c r="E8" s="21">
        <f>E5</f>
        <v>8077.6214814373816</v>
      </c>
      <c r="F8" s="21">
        <f>F5</f>
        <v>87841.468464707868</v>
      </c>
      <c r="G8" s="21"/>
      <c r="H8" s="21"/>
      <c r="I8" s="21"/>
      <c r="J8" s="21">
        <f>J5</f>
        <v>0</v>
      </c>
      <c r="K8" s="21"/>
      <c r="L8" s="21">
        <f>L5</f>
        <v>0</v>
      </c>
      <c r="M8" s="21">
        <f>M5</f>
        <v>0</v>
      </c>
      <c r="N8" s="21">
        <f>N5</f>
        <v>29514.474074388629</v>
      </c>
      <c r="O8" s="21">
        <f>O5</f>
        <v>911.42333333333329</v>
      </c>
      <c r="P8" s="21">
        <f>P5</f>
        <v>2345.1999999999998</v>
      </c>
    </row>
    <row r="9" spans="1:16">
      <c r="B9" s="19"/>
      <c r="C9" s="19"/>
      <c r="D9" s="258"/>
      <c r="E9" s="19"/>
      <c r="F9" s="19"/>
      <c r="G9" s="19"/>
      <c r="H9" s="19"/>
      <c r="I9" s="19"/>
      <c r="J9" s="19"/>
      <c r="K9" s="19"/>
      <c r="L9" s="19"/>
      <c r="M9" s="19"/>
      <c r="N9" s="19"/>
      <c r="O9" s="19"/>
      <c r="P9" s="19"/>
    </row>
    <row r="10" spans="1:16">
      <c r="A10" s="24" t="s">
        <v>214</v>
      </c>
      <c r="B10" s="25">
        <f ca="1">'EF ele_warmte'!B12</f>
        <v>0.19900991968507181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26256.408381792626</v>
      </c>
      <c r="C12" s="23">
        <f ca="1">C10*C8</f>
        <v>0</v>
      </c>
      <c r="D12" s="23">
        <f>D8*D10</f>
        <v>64227.333259892002</v>
      </c>
      <c r="E12" s="23">
        <f>E10*E8</f>
        <v>1833.6200762862857</v>
      </c>
      <c r="F12" s="23">
        <f>F10*F8</f>
        <v>23453.672080077002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12607</v>
      </c>
      <c r="C18" s="166" t="s">
        <v>111</v>
      </c>
      <c r="D18" s="228"/>
      <c r="E18" s="15"/>
    </row>
    <row r="19" spans="1:7">
      <c r="A19" s="171" t="s">
        <v>72</v>
      </c>
      <c r="B19" s="37">
        <f>aantalw2001_ander</f>
        <v>2</v>
      </c>
      <c r="C19" s="166" t="s">
        <v>111</v>
      </c>
      <c r="D19" s="229"/>
      <c r="E19" s="15"/>
    </row>
    <row r="20" spans="1:7">
      <c r="A20" s="171" t="s">
        <v>73</v>
      </c>
      <c r="B20" s="37">
        <f>aantalw2001_propaan</f>
        <v>137</v>
      </c>
      <c r="C20" s="167">
        <f>IF(ISERROR(B20/SUM($B$20,$B$21,$B$22)*100),0,B20/SUM($B$20,$B$21,$B$22)*100)</f>
        <v>6.5960519980741452</v>
      </c>
      <c r="D20" s="229"/>
      <c r="E20" s="15"/>
    </row>
    <row r="21" spans="1:7">
      <c r="A21" s="171" t="s">
        <v>74</v>
      </c>
      <c r="B21" s="37">
        <f>aantalw2001_elektriciteit</f>
        <v>1808</v>
      </c>
      <c r="C21" s="167">
        <f>IF(ISERROR(B21/SUM($B$20,$B$21,$B$22)*100),0,B21/SUM($B$20,$B$21,$B$22)*100)</f>
        <v>87.048627828598939</v>
      </c>
      <c r="D21" s="229"/>
      <c r="E21" s="15"/>
    </row>
    <row r="22" spans="1:7">
      <c r="A22" s="171" t="s">
        <v>75</v>
      </c>
      <c r="B22" s="37">
        <f>aantalw2001_hout</f>
        <v>132</v>
      </c>
      <c r="C22" s="167">
        <f>IF(ISERROR(B22/SUM($B$20,$B$21,$B$22)*100),0,B22/SUM($B$20,$B$21,$B$22)*100)</f>
        <v>6.3553201733269145</v>
      </c>
      <c r="D22" s="229"/>
      <c r="E22" s="15"/>
    </row>
    <row r="23" spans="1:7">
      <c r="A23" s="171" t="s">
        <v>76</v>
      </c>
      <c r="B23" s="37">
        <f>aantalw2001_niet_gespec</f>
        <v>416</v>
      </c>
      <c r="C23" s="166" t="s">
        <v>111</v>
      </c>
      <c r="D23" s="228"/>
      <c r="E23" s="15"/>
    </row>
    <row r="24" spans="1:7">
      <c r="A24" s="171" t="s">
        <v>77</v>
      </c>
      <c r="B24" s="37">
        <f>aantalw2001_steenkool</f>
        <v>298</v>
      </c>
      <c r="C24" s="166" t="s">
        <v>111</v>
      </c>
      <c r="D24" s="229"/>
      <c r="E24" s="15"/>
    </row>
    <row r="25" spans="1:7">
      <c r="A25" s="171" t="s">
        <v>78</v>
      </c>
      <c r="B25" s="37">
        <f>aantalw2001_stookolie</f>
        <v>12509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742</v>
      </c>
      <c r="B28" s="37">
        <f>aantalHuishoudens2011</f>
        <v>34440</v>
      </c>
      <c r="C28" s="36"/>
      <c r="D28" s="228"/>
    </row>
    <row r="29" spans="1:7" s="15" customFormat="1">
      <c r="A29" s="230" t="s">
        <v>743</v>
      </c>
      <c r="B29" s="37">
        <f>SUM(HH_hh_gas_aantal,HH_rest_gas_aantal)</f>
        <v>22541</v>
      </c>
      <c r="C29" s="36"/>
      <c r="D29" s="228"/>
    </row>
    <row r="30" spans="1:7" s="15" customFormat="1">
      <c r="A30" s="231"/>
      <c r="B30" s="29"/>
      <c r="C30" s="36"/>
      <c r="D30" s="232"/>
    </row>
    <row r="31" spans="1:7">
      <c r="A31" s="172" t="s">
        <v>744</v>
      </c>
      <c r="B31" s="168" t="s">
        <v>216</v>
      </c>
      <c r="C31" s="165" t="s">
        <v>217</v>
      </c>
      <c r="D31" s="174"/>
      <c r="G31" s="15"/>
    </row>
    <row r="32" spans="1:7">
      <c r="A32" s="171" t="s">
        <v>71</v>
      </c>
      <c r="B32" s="37">
        <f>B29</f>
        <v>22541</v>
      </c>
      <c r="C32" s="167">
        <f>IF(ISERROR(B32/SUM($B$32,$B$34,$B$35,$B$36,$B$38,$B$39)*100),0,B32/SUM($B$32,$B$34,$B$35,$B$36,$B$38,$B$39)*100)</f>
        <v>65.68464609377277</v>
      </c>
      <c r="D32" s="233"/>
      <c r="G32" s="15"/>
    </row>
    <row r="33" spans="1:7">
      <c r="A33" s="171" t="s">
        <v>72</v>
      </c>
      <c r="B33" s="34" t="s">
        <v>111</v>
      </c>
      <c r="C33" s="167"/>
      <c r="D33" s="233"/>
      <c r="G33" s="15"/>
    </row>
    <row r="34" spans="1:7">
      <c r="A34" s="171" t="s">
        <v>73</v>
      </c>
      <c r="B34" s="33">
        <f>IF((($B$28-$B$32-$B$39-$B$77-$B$38)*C20/100)&lt;0,0,($B$28-$B$32-$B$39-$B$77-$B$38)*C20/100)</f>
        <v>541.37756379393363</v>
      </c>
      <c r="C34" s="167">
        <f>IF(ISERROR(B34/SUM($B$32,$B$34,$B$35,$B$36,$B$38,$B$39)*100),0,B34/SUM($B$32,$B$34,$B$35,$B$36,$B$38,$B$39)*100)</f>
        <v>1.5775783541508104</v>
      </c>
      <c r="D34" s="233"/>
      <c r="G34" s="15"/>
    </row>
    <row r="35" spans="1:7">
      <c r="A35" s="171" t="s">
        <v>74</v>
      </c>
      <c r="B35" s="33">
        <f>IF((($B$28-$B$32-$B$39-$B$77-$B$38)*C21/100)&lt;0,0,($B$28-$B$32-$B$39-$B$77-$B$38)*C21/100)</f>
        <v>7144.6031776600867</v>
      </c>
      <c r="C35" s="167">
        <f>IF(ISERROR(B35/SUM($B$32,$B$34,$B$35,$B$36,$B$38,$B$39)*100),0,B35/SUM($B$32,$B$34,$B$35,$B$36,$B$38,$B$39)*100)</f>
        <v>20.819428206603394</v>
      </c>
      <c r="D35" s="233"/>
      <c r="G35" s="15"/>
    </row>
    <row r="36" spans="1:7">
      <c r="A36" s="171" t="s">
        <v>75</v>
      </c>
      <c r="B36" s="33">
        <f>IF((($B$28-$B$32-$B$39-$B$77-$B$38)*C22/100)&lt;0,0,($B$28-$B$32-$B$39-$B$77-$B$38)*C22/100)</f>
        <v>521.61925854597985</v>
      </c>
      <c r="C36" s="167">
        <f>IF(ISERROR(B36/SUM($B$32,$B$34,$B$35,$B$36,$B$38,$B$39)*100),0,B36/SUM($B$32,$B$34,$B$35,$B$36,$B$38,$B$39)*100)</f>
        <v>1.52000250180954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3568.3999999999996</v>
      </c>
      <c r="C39" s="167">
        <f>IF(ISERROR(B39/SUM($B$32,$B$34,$B$35,$B$36,$B$38,$B$39)*100),0,B39/SUM($B$32,$B$34,$B$35,$B$36,$B$38,$B$39)*100)</f>
        <v>10.398344843663489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697</v>
      </c>
      <c r="C43" s="169" t="s">
        <v>698</v>
      </c>
      <c r="D43" s="174"/>
    </row>
    <row r="44" spans="1:7">
      <c r="A44" s="171" t="s">
        <v>71</v>
      </c>
      <c r="B44" s="33">
        <f t="shared" ref="B44:B52" si="0">B32</f>
        <v>22541</v>
      </c>
      <c r="C44" s="34" t="s">
        <v>111</v>
      </c>
      <c r="D44" s="174"/>
    </row>
    <row r="45" spans="1:7">
      <c r="A45" s="171" t="s">
        <v>72</v>
      </c>
      <c r="B45" s="33" t="str">
        <f t="shared" si="0"/>
        <v>-</v>
      </c>
      <c r="C45" s="34" t="s">
        <v>111</v>
      </c>
      <c r="D45" s="174"/>
    </row>
    <row r="46" spans="1:7">
      <c r="A46" s="171" t="s">
        <v>73</v>
      </c>
      <c r="B46" s="33">
        <f t="shared" si="0"/>
        <v>541.37756379393363</v>
      </c>
      <c r="C46" s="34" t="s">
        <v>111</v>
      </c>
      <c r="D46" s="174"/>
    </row>
    <row r="47" spans="1:7">
      <c r="A47" s="171" t="s">
        <v>74</v>
      </c>
      <c r="B47" s="33">
        <f t="shared" si="0"/>
        <v>7144.6031776600867</v>
      </c>
      <c r="C47" s="34" t="s">
        <v>111</v>
      </c>
      <c r="D47" s="174"/>
    </row>
    <row r="48" spans="1:7">
      <c r="A48" s="171" t="s">
        <v>75</v>
      </c>
      <c r="B48" s="33">
        <f t="shared" si="0"/>
        <v>521.61925854597985</v>
      </c>
      <c r="C48" s="33">
        <f>B48*10</f>
        <v>5216.1925854597985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3568.3999999999996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695</v>
      </c>
      <c r="C54" s="165" t="s">
        <v>696</v>
      </c>
      <c r="D54" s="301" t="s">
        <v>694</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195162.02551252278</v>
      </c>
      <c r="C5" s="17">
        <f>IF(ISERROR('Eigen informatie GS &amp; warmtenet'!B58),0,'Eigen informatie GS &amp; warmtenet'!B58)</f>
        <v>0</v>
      </c>
      <c r="D5" s="30">
        <f>SUM(D6:D12)</f>
        <v>194121.179802</v>
      </c>
      <c r="E5" s="17">
        <f>SUM(E6:E12)</f>
        <v>1711.8999050893003</v>
      </c>
      <c r="F5" s="17">
        <f>SUM(F6:F12)</f>
        <v>28141.458509433938</v>
      </c>
      <c r="G5" s="18"/>
      <c r="H5" s="17"/>
      <c r="I5" s="17"/>
      <c r="J5" s="17">
        <f>SUM(J6:J12)</f>
        <v>0</v>
      </c>
      <c r="K5" s="17"/>
      <c r="L5" s="17"/>
      <c r="M5" s="17"/>
      <c r="N5" s="17">
        <f>SUM(N6:N12)</f>
        <v>12734.398191630482</v>
      </c>
      <c r="O5" s="17">
        <f>B38*B39*B40</f>
        <v>9.3800000000000008</v>
      </c>
      <c r="P5" s="17">
        <f>B46*B47*B48/1000-B46*B47*B48/1000/B49</f>
        <v>152.53333333333333</v>
      </c>
      <c r="R5" s="32"/>
    </row>
    <row r="6" spans="1:18">
      <c r="A6" s="32" t="s">
        <v>54</v>
      </c>
      <c r="B6" s="37">
        <f>B26</f>
        <v>71177.355512522758</v>
      </c>
      <c r="C6" s="33"/>
      <c r="D6" s="37">
        <f>IF(ISERROR(TER_kantoor_gas_kWh/1000),0,TER_kantoor_gas_kWh/1000)*0.902</f>
        <v>71586.773588000011</v>
      </c>
      <c r="E6" s="33">
        <f>$C$26*'E Balans VL '!I12/100/3.6*1000000</f>
        <v>206.21124211860041</v>
      </c>
      <c r="F6" s="33">
        <f>$C$26*('E Balans VL '!L12+'E Balans VL '!N12)/100/3.6*1000000</f>
        <v>8055.7084852926118</v>
      </c>
      <c r="G6" s="34"/>
      <c r="H6" s="33"/>
      <c r="I6" s="33"/>
      <c r="J6" s="33">
        <f>$C$26*('E Balans VL '!D12+'E Balans VL '!E12)/100/3.6*1000000</f>
        <v>0</v>
      </c>
      <c r="K6" s="33"/>
      <c r="L6" s="33"/>
      <c r="M6" s="33"/>
      <c r="N6" s="33">
        <f>$C$26*'E Balans VL '!Y12/100/3.6*1000000</f>
        <v>712.43288286316988</v>
      </c>
      <c r="O6" s="33"/>
      <c r="P6" s="33"/>
      <c r="R6" s="32"/>
    </row>
    <row r="7" spans="1:18">
      <c r="A7" s="32" t="s">
        <v>53</v>
      </c>
      <c r="B7" s="37">
        <f t="shared" ref="B7:B12" si="0">B27</f>
        <v>18066.849999999999</v>
      </c>
      <c r="C7" s="33"/>
      <c r="D7" s="37">
        <f>IF(ISERROR(TER_horeca_gas_kWh/1000),0,TER_horeca_gas_kWh/1000)*0.902</f>
        <v>18646.434444000002</v>
      </c>
      <c r="E7" s="33">
        <f>$C$27*'E Balans VL '!I9/100/3.6*1000000</f>
        <v>758.39588521873441</v>
      </c>
      <c r="F7" s="33">
        <f>$C$27*('E Balans VL '!L9+'E Balans VL '!N9)/100/3.6*1000000</f>
        <v>3882.0332181536223</v>
      </c>
      <c r="G7" s="34"/>
      <c r="H7" s="33"/>
      <c r="I7" s="33"/>
      <c r="J7" s="33">
        <f>$C$27*('E Balans VL '!D9+'E Balans VL '!E9)/100/3.6*1000000</f>
        <v>0</v>
      </c>
      <c r="K7" s="33"/>
      <c r="L7" s="33"/>
      <c r="M7" s="33"/>
      <c r="N7" s="33">
        <f>$C$27*'E Balans VL '!Y9/100/3.6*1000000</f>
        <v>4.6556692446649235</v>
      </c>
      <c r="O7" s="33"/>
      <c r="P7" s="33"/>
      <c r="R7" s="32"/>
    </row>
    <row r="8" spans="1:18">
      <c r="A8" s="6" t="s">
        <v>52</v>
      </c>
      <c r="B8" s="37">
        <f t="shared" si="0"/>
        <v>62492.659</v>
      </c>
      <c r="C8" s="33"/>
      <c r="D8" s="37">
        <f>IF(ISERROR(TER_handel_gas_kWh/1000),0,TER_handel_gas_kWh/1000)*0.902</f>
        <v>34612.702168000003</v>
      </c>
      <c r="E8" s="33">
        <f>$C$28*'E Balans VL '!I13/100/3.6*1000000</f>
        <v>671.22316882158577</v>
      </c>
      <c r="F8" s="33">
        <f>$C$28*('E Balans VL '!L13+'E Balans VL '!N13)/100/3.6*1000000</f>
        <v>8090.1907612896812</v>
      </c>
      <c r="G8" s="34"/>
      <c r="H8" s="33"/>
      <c r="I8" s="33"/>
      <c r="J8" s="33">
        <f>$C$28*('E Balans VL '!D13+'E Balans VL '!E13)/100/3.6*1000000</f>
        <v>0</v>
      </c>
      <c r="K8" s="33"/>
      <c r="L8" s="33"/>
      <c r="M8" s="33"/>
      <c r="N8" s="33">
        <f>$C$28*'E Balans VL '!Y13/100/3.6*1000000</f>
        <v>506.9438620555444</v>
      </c>
      <c r="O8" s="33"/>
      <c r="P8" s="33"/>
      <c r="R8" s="32"/>
    </row>
    <row r="9" spans="1:18">
      <c r="A9" s="32" t="s">
        <v>51</v>
      </c>
      <c r="B9" s="37">
        <f t="shared" si="0"/>
        <v>18793.667000000001</v>
      </c>
      <c r="C9" s="33"/>
      <c r="D9" s="37">
        <f>IF(ISERROR(TER_gezond_gas_kWh/1000),0,TER_gezond_gas_kWh/1000)*0.902</f>
        <v>29099.212736000001</v>
      </c>
      <c r="E9" s="33">
        <f>$C$29*'E Balans VL '!I10/100/3.6*1000000</f>
        <v>14.960974473816236</v>
      </c>
      <c r="F9" s="33">
        <f>$C$29*('E Balans VL '!L10+'E Balans VL '!N10)/100/3.6*1000000</f>
        <v>2284.6418168006376</v>
      </c>
      <c r="G9" s="34"/>
      <c r="H9" s="33"/>
      <c r="I9" s="33"/>
      <c r="J9" s="33">
        <f>$C$29*('E Balans VL '!D10+'E Balans VL '!E10)/100/3.6*1000000</f>
        <v>0</v>
      </c>
      <c r="K9" s="33"/>
      <c r="L9" s="33"/>
      <c r="M9" s="33"/>
      <c r="N9" s="33">
        <f>$C$29*'E Balans VL '!Y10/100/3.6*1000000</f>
        <v>151.81026297107073</v>
      </c>
      <c r="O9" s="33"/>
      <c r="P9" s="33"/>
      <c r="R9" s="32"/>
    </row>
    <row r="10" spans="1:18">
      <c r="A10" s="32" t="s">
        <v>50</v>
      </c>
      <c r="B10" s="37">
        <f t="shared" si="0"/>
        <v>16112.986999999999</v>
      </c>
      <c r="C10" s="33"/>
      <c r="D10" s="37">
        <f>IF(ISERROR(TER_ander_gas_kWh/1000),0,TER_ander_gas_kWh/1000)*0.902</f>
        <v>19420.226870000002</v>
      </c>
      <c r="E10" s="33">
        <f>$C$30*'E Balans VL '!I14/100/3.6*1000000</f>
        <v>55.220052916831683</v>
      </c>
      <c r="F10" s="33">
        <f>$C$30*('E Balans VL '!L14+'E Balans VL '!N14)/100/3.6*1000000</f>
        <v>3598.9865411361288</v>
      </c>
      <c r="G10" s="34"/>
      <c r="H10" s="33"/>
      <c r="I10" s="33"/>
      <c r="J10" s="33">
        <f>$C$30*('E Balans VL '!D14+'E Balans VL '!E14)/100/3.6*1000000</f>
        <v>0</v>
      </c>
      <c r="K10" s="33"/>
      <c r="L10" s="33"/>
      <c r="M10" s="33"/>
      <c r="N10" s="33">
        <f>$C$30*'E Balans VL '!Y14/100/3.6*1000000</f>
        <v>11350.07606632736</v>
      </c>
      <c r="O10" s="33"/>
      <c r="P10" s="33"/>
      <c r="R10" s="32"/>
    </row>
    <row r="11" spans="1:18">
      <c r="A11" s="32" t="s">
        <v>55</v>
      </c>
      <c r="B11" s="37">
        <f t="shared" si="0"/>
        <v>8518.5069999999996</v>
      </c>
      <c r="C11" s="33"/>
      <c r="D11" s="37">
        <f>IF(ISERROR(TER_onderwijs_gas_kWh/1000),0,TER_onderwijs_gas_kWh/1000)*0.902</f>
        <v>20755.829996</v>
      </c>
      <c r="E11" s="33">
        <f>$C$31*'E Balans VL '!I11/100/3.6*1000000</f>
        <v>5.8885815397316215</v>
      </c>
      <c r="F11" s="33">
        <f>$C$31*('E Balans VL '!L11+'E Balans VL '!N11)/100/3.6*1000000</f>
        <v>2229.8976867612532</v>
      </c>
      <c r="G11" s="34"/>
      <c r="H11" s="33"/>
      <c r="I11" s="33"/>
      <c r="J11" s="33">
        <f>$C$31*('E Balans VL '!D11+'E Balans VL '!E11)/100/3.6*1000000</f>
        <v>0</v>
      </c>
      <c r="K11" s="33"/>
      <c r="L11" s="33"/>
      <c r="M11" s="33"/>
      <c r="N11" s="33">
        <f>$C$31*'E Balans VL '!Y11/100/3.6*1000000</f>
        <v>8.4794481686726222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3244.2750000000001</v>
      </c>
      <c r="C13" s="247">
        <f ca="1">'lokale energieproductie'!O90+'lokale energieproductie'!O59</f>
        <v>2866.8214285714284</v>
      </c>
      <c r="D13" s="310">
        <f ca="1">('lokale energieproductie'!P59+'lokale energieproductie'!P90)*(-1)</f>
        <v>-5733.6428571428578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-3535.7142857142858</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198406.30051252278</v>
      </c>
      <c r="C16" s="21">
        <f t="shared" ca="1" si="1"/>
        <v>2866.8214285714284</v>
      </c>
      <c r="D16" s="21">
        <f t="shared" ca="1" si="1"/>
        <v>188387.53694485713</v>
      </c>
      <c r="E16" s="21">
        <f t="shared" si="1"/>
        <v>1711.8999050893003</v>
      </c>
      <c r="F16" s="21">
        <f t="shared" ca="1" si="1"/>
        <v>28141.458509433938</v>
      </c>
      <c r="G16" s="21">
        <f t="shared" si="1"/>
        <v>0</v>
      </c>
      <c r="H16" s="21">
        <f t="shared" si="1"/>
        <v>0</v>
      </c>
      <c r="I16" s="21">
        <f t="shared" si="1"/>
        <v>0</v>
      </c>
      <c r="J16" s="21">
        <f t="shared" si="1"/>
        <v>0</v>
      </c>
      <c r="K16" s="21">
        <f t="shared" si="1"/>
        <v>0</v>
      </c>
      <c r="L16" s="21">
        <f t="shared" ca="1" si="1"/>
        <v>0</v>
      </c>
      <c r="M16" s="21">
        <f t="shared" si="1"/>
        <v>0</v>
      </c>
      <c r="N16" s="21">
        <f t="shared" ca="1" si="1"/>
        <v>9198.6839059161957</v>
      </c>
      <c r="O16" s="21">
        <f>O5</f>
        <v>9.3800000000000008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0.19900991968507181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39484.821930009384</v>
      </c>
      <c r="C20" s="23">
        <f t="shared" ref="C20:P20" ca="1" si="2">C16*C18</f>
        <v>681.29168067226897</v>
      </c>
      <c r="D20" s="23">
        <f t="shared" ca="1" si="2"/>
        <v>38054.282462861142</v>
      </c>
      <c r="E20" s="23">
        <f t="shared" si="2"/>
        <v>388.6012784552712</v>
      </c>
      <c r="F20" s="23">
        <f t="shared" ca="1" si="2"/>
        <v>7513.7694220188623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71177.355512522758</v>
      </c>
      <c r="C26" s="39">
        <f>IF(ISERROR(B26*3.6/1000000/'E Balans VL '!Z12*100),0,B26*3.6/1000000/'E Balans VL '!Z12*100)</f>
        <v>1.5634929030957547</v>
      </c>
      <c r="D26" s="237" t="s">
        <v>694</v>
      </c>
      <c r="F26" s="6"/>
    </row>
    <row r="27" spans="1:18">
      <c r="A27" s="231" t="s">
        <v>53</v>
      </c>
      <c r="B27" s="33">
        <f>IF(ISERROR(TER_horeca_ele_kWh/1000),0,TER_horeca_ele_kWh/1000)</f>
        <v>18066.849999999999</v>
      </c>
      <c r="C27" s="39">
        <f>IF(ISERROR(B27*3.6/1000000/'E Balans VL '!Z9*100),0,B27*3.6/1000000/'E Balans VL '!Z9*100)</f>
        <v>1.4518514899878867</v>
      </c>
      <c r="D27" s="237" t="s">
        <v>694</v>
      </c>
      <c r="F27" s="6"/>
    </row>
    <row r="28" spans="1:18">
      <c r="A28" s="171" t="s">
        <v>52</v>
      </c>
      <c r="B28" s="33">
        <f>IF(ISERROR(TER_handel_ele_kWh/1000),0,TER_handel_ele_kWh/1000)</f>
        <v>62492.659</v>
      </c>
      <c r="C28" s="39">
        <f>IF(ISERROR(B28*3.6/1000000/'E Balans VL '!Z13*100),0,B28*3.6/1000000/'E Balans VL '!Z13*100)</f>
        <v>1.8478642683417483</v>
      </c>
      <c r="D28" s="237" t="s">
        <v>694</v>
      </c>
      <c r="F28" s="6"/>
    </row>
    <row r="29" spans="1:18">
      <c r="A29" s="231" t="s">
        <v>51</v>
      </c>
      <c r="B29" s="33">
        <f>IF(ISERROR(TER_gezond_ele_kWh/1000),0,TER_gezond_ele_kWh/1000)</f>
        <v>18793.667000000001</v>
      </c>
      <c r="C29" s="39">
        <f>IF(ISERROR(B29*3.6/1000000/'E Balans VL '!Z10*100),0,B29*3.6/1000000/'E Balans VL '!Z10*100)</f>
        <v>2.1175610611894049</v>
      </c>
      <c r="D29" s="237" t="s">
        <v>694</v>
      </c>
      <c r="F29" s="6"/>
    </row>
    <row r="30" spans="1:18">
      <c r="A30" s="231" t="s">
        <v>50</v>
      </c>
      <c r="B30" s="33">
        <f>IF(ISERROR(TER_ander_ele_kWh/1000),0,TER_ander_ele_kWh/1000)</f>
        <v>16112.986999999999</v>
      </c>
      <c r="C30" s="39">
        <f>IF(ISERROR(B30*3.6/1000000/'E Balans VL '!Z14*100),0,B30*3.6/1000000/'E Balans VL '!Z14*100)</f>
        <v>1.2185976629028834</v>
      </c>
      <c r="D30" s="237" t="s">
        <v>694</v>
      </c>
      <c r="F30" s="6"/>
    </row>
    <row r="31" spans="1:18">
      <c r="A31" s="231" t="s">
        <v>55</v>
      </c>
      <c r="B31" s="33">
        <f>IF(ISERROR(TER_onderwijs_ele_kWh/1000),0,TER_onderwijs_ele_kWh/1000)</f>
        <v>8518.5069999999996</v>
      </c>
      <c r="C31" s="39">
        <f>IF(ISERROR(B31*3.6/1000000/'E Balans VL '!Z11*100),0,B31*3.6/1000000/'E Balans VL '!Z11*100)</f>
        <v>1.7682443045494285</v>
      </c>
      <c r="D31" s="237" t="s">
        <v>694</v>
      </c>
    </row>
    <row r="32" spans="1:18">
      <c r="A32" s="231" t="s">
        <v>260</v>
      </c>
      <c r="B32" s="33">
        <f>IF(ISERROR(TER_rest_ele_kWh/1000),0,TER_rest_ele_kWh/1000)</f>
        <v>0</v>
      </c>
      <c r="C32" s="39">
        <f>IF(ISERROR(B32*3.6/1000000/'E Balans VL '!Z8*100),0,B32*3.6/1000000/'E Balans VL '!Z8*100)</f>
        <v>0</v>
      </c>
      <c r="D32" s="237" t="s">
        <v>694</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63588.931999999993</v>
      </c>
      <c r="C5" s="17">
        <f>IF(ISERROR('Eigen informatie GS &amp; warmtenet'!B59),0,'Eigen informatie GS &amp; warmtenet'!B59)</f>
        <v>0</v>
      </c>
      <c r="D5" s="30">
        <f>SUM(D6:D15)</f>
        <v>70995.922095999995</v>
      </c>
      <c r="E5" s="17">
        <f>SUM(E6:E15)</f>
        <v>8921.1952156610514</v>
      </c>
      <c r="F5" s="17">
        <f>SUM(F6:F15)</f>
        <v>47296.872827876585</v>
      </c>
      <c r="G5" s="18"/>
      <c r="H5" s="17"/>
      <c r="I5" s="17"/>
      <c r="J5" s="17">
        <f>SUM(J6:J15)</f>
        <v>280.43164003758278</v>
      </c>
      <c r="K5" s="17"/>
      <c r="L5" s="17"/>
      <c r="M5" s="17"/>
      <c r="N5" s="17">
        <f>SUM(N6:N15)</f>
        <v>17753.549347183307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3807.8420000000001</v>
      </c>
      <c r="C8" s="33"/>
      <c r="D8" s="37">
        <f>IF( ISERROR(IND_metaal_Gas_kWH/1000),0,IND_metaal_Gas_kWH/1000)*0.902</f>
        <v>4431.1327280000005</v>
      </c>
      <c r="E8" s="33">
        <f>C30*'E Balans VL '!I18/100/3.6*1000000</f>
        <v>95.296958098515844</v>
      </c>
      <c r="F8" s="33">
        <f>C30*'E Balans VL '!L18/100/3.6*1000000+C30*'E Balans VL '!N18/100/3.6*1000000</f>
        <v>1193.3966239802144</v>
      </c>
      <c r="G8" s="34"/>
      <c r="H8" s="33"/>
      <c r="I8" s="33"/>
      <c r="J8" s="40">
        <f>C30*'E Balans VL '!D18/100/3.6*1000000+C30*'E Balans VL '!E18/100/3.6*1000000</f>
        <v>0</v>
      </c>
      <c r="K8" s="33"/>
      <c r="L8" s="33"/>
      <c r="M8" s="33"/>
      <c r="N8" s="33">
        <f>C30*'E Balans VL '!Y18/100/3.6*1000000</f>
        <v>95.662873251725529</v>
      </c>
      <c r="O8" s="33"/>
      <c r="P8" s="33"/>
      <c r="R8" s="32"/>
    </row>
    <row r="9" spans="1:18">
      <c r="A9" s="6" t="s">
        <v>33</v>
      </c>
      <c r="B9" s="37">
        <f t="shared" si="0"/>
        <v>31497.716</v>
      </c>
      <c r="C9" s="33"/>
      <c r="D9" s="37">
        <f>IF( ISERROR(IND_andere_gas_kWh/1000),0,IND_andere_gas_kWh/1000)*0.902</f>
        <v>15794.427704000002</v>
      </c>
      <c r="E9" s="33">
        <f>C31*'E Balans VL '!I19/100/3.6*1000000</f>
        <v>8660.5800194271687</v>
      </c>
      <c r="F9" s="33">
        <f>C31*'E Balans VL '!L19/100/3.6*1000000+C31*'E Balans VL '!N19/100/3.6*1000000</f>
        <v>24825.681204108339</v>
      </c>
      <c r="G9" s="34"/>
      <c r="H9" s="33"/>
      <c r="I9" s="33"/>
      <c r="J9" s="40">
        <f>C31*'E Balans VL '!D19/100/3.6*1000000+C31*'E Balans VL '!E19/100/3.6*1000000</f>
        <v>0</v>
      </c>
      <c r="K9" s="33"/>
      <c r="L9" s="33"/>
      <c r="M9" s="33"/>
      <c r="N9" s="33">
        <f>C31*'E Balans VL '!Y19/100/3.6*1000000</f>
        <v>10196.642069776537</v>
      </c>
      <c r="O9" s="33"/>
      <c r="P9" s="33"/>
      <c r="R9" s="32"/>
    </row>
    <row r="10" spans="1:18">
      <c r="A10" s="6" t="s">
        <v>41</v>
      </c>
      <c r="B10" s="37">
        <f t="shared" si="0"/>
        <v>11009.55</v>
      </c>
      <c r="C10" s="33"/>
      <c r="D10" s="37">
        <f>IF( ISERROR(IND_voed_gas_kWh/1000),0,IND_voed_gas_kWh/1000)*0.902</f>
        <v>10452.145990000001</v>
      </c>
      <c r="E10" s="33">
        <f>C32*'E Balans VL '!I20/100/3.6*1000000</f>
        <v>112.23629705429686</v>
      </c>
      <c r="F10" s="33">
        <f>C32*'E Balans VL '!L20/100/3.6*1000000+C32*'E Balans VL '!N20/100/3.6*1000000</f>
        <v>20796.971091911688</v>
      </c>
      <c r="G10" s="34"/>
      <c r="H10" s="33"/>
      <c r="I10" s="33"/>
      <c r="J10" s="40">
        <f>C32*'E Balans VL '!D20/100/3.6*1000000+C32*'E Balans VL '!E20/100/3.6*1000000</f>
        <v>263.49455491069227</v>
      </c>
      <c r="K10" s="33"/>
      <c r="L10" s="33"/>
      <c r="M10" s="33"/>
      <c r="N10" s="33">
        <f>C32*'E Balans VL '!Y20/100/3.6*1000000</f>
        <v>5803.3009946555803</v>
      </c>
      <c r="O10" s="33"/>
      <c r="P10" s="33"/>
      <c r="R10" s="32"/>
    </row>
    <row r="11" spans="1:18">
      <c r="A11" s="6" t="s">
        <v>40</v>
      </c>
      <c r="B11" s="37">
        <f t="shared" si="0"/>
        <v>405.36</v>
      </c>
      <c r="C11" s="33"/>
      <c r="D11" s="37">
        <f>IF( ISERROR(IND_textiel_gas_kWh/1000),0,IND_textiel_gas_kWh/1000)*0.902</f>
        <v>281.12634000000003</v>
      </c>
      <c r="E11" s="33">
        <f>C33*'E Balans VL '!I21/100/3.6*1000000</f>
        <v>1.0744023092067889</v>
      </c>
      <c r="F11" s="33">
        <f>C33*'E Balans VL '!L21/100/3.6*1000000+C33*'E Balans VL '!N21/100/3.6*1000000</f>
        <v>18.103795759977018</v>
      </c>
      <c r="G11" s="34"/>
      <c r="H11" s="33"/>
      <c r="I11" s="33"/>
      <c r="J11" s="40">
        <f>C33*'E Balans VL '!D21/100/3.6*1000000+C33*'E Balans VL '!E21/100/3.6*1000000</f>
        <v>0</v>
      </c>
      <c r="K11" s="33"/>
      <c r="L11" s="33"/>
      <c r="M11" s="33"/>
      <c r="N11" s="33">
        <f>C33*'E Balans VL '!Y21/100/3.6*1000000</f>
        <v>3.8202282316020209</v>
      </c>
      <c r="O11" s="33"/>
      <c r="P11" s="33"/>
      <c r="R11" s="32"/>
    </row>
    <row r="12" spans="1:18">
      <c r="A12" s="6" t="s">
        <v>37</v>
      </c>
      <c r="B12" s="37">
        <f t="shared" si="0"/>
        <v>11226.915999999999</v>
      </c>
      <c r="C12" s="33"/>
      <c r="D12" s="37">
        <f>IF( ISERROR(IND_min_gas_kWh/1000),0,IND_min_gas_kWh/1000)*0.902</f>
        <v>36514.031576000001</v>
      </c>
      <c r="E12" s="33">
        <f>C34*'E Balans VL '!I22/100/3.6*1000000</f>
        <v>34.001250035620302</v>
      </c>
      <c r="F12" s="33">
        <f>C34*'E Balans VL '!L22/100/3.6*1000000+C34*'E Balans VL '!N22/100/3.6*1000000</f>
        <v>350.850777185033</v>
      </c>
      <c r="G12" s="34"/>
      <c r="H12" s="33"/>
      <c r="I12" s="33"/>
      <c r="J12" s="40">
        <f>C34*'E Balans VL '!D22/100/3.6*1000000+C34*'E Balans VL '!E22/100/3.6*1000000</f>
        <v>16.647024181071078</v>
      </c>
      <c r="K12" s="33"/>
      <c r="L12" s="33"/>
      <c r="M12" s="33"/>
      <c r="N12" s="33">
        <f>C34*'E Balans VL '!Y22/100/3.6*1000000</f>
        <v>0</v>
      </c>
      <c r="O12" s="33"/>
      <c r="P12" s="33"/>
      <c r="R12" s="32"/>
    </row>
    <row r="13" spans="1:18">
      <c r="A13" s="6" t="s">
        <v>39</v>
      </c>
      <c r="B13" s="37">
        <f t="shared" si="0"/>
        <v>3815.5749999999998</v>
      </c>
      <c r="C13" s="33"/>
      <c r="D13" s="37">
        <f>IF( ISERROR(IND_papier_gas_kWh/1000),0,IND_papier_gas_kWh/1000)*0.902</f>
        <v>2860.6957060000004</v>
      </c>
      <c r="E13" s="33">
        <f>C35*'E Balans VL '!I23/100/3.6*1000000</f>
        <v>7.9023133701109236</v>
      </c>
      <c r="F13" s="33">
        <f>C35*'E Balans VL '!L23/100/3.6*1000000+C35*'E Balans VL '!N23/100/3.6*1000000</f>
        <v>75.671032192651751</v>
      </c>
      <c r="G13" s="34"/>
      <c r="H13" s="33"/>
      <c r="I13" s="33"/>
      <c r="J13" s="40">
        <f>C35*'E Balans VL '!D23/100/3.6*1000000+C35*'E Balans VL '!E23/100/3.6*1000000</f>
        <v>0</v>
      </c>
      <c r="K13" s="33"/>
      <c r="L13" s="33"/>
      <c r="M13" s="33"/>
      <c r="N13" s="33">
        <f>C35*'E Balans VL '!Y23/100/3.6*1000000</f>
        <v>1611.1184119212194</v>
      </c>
      <c r="O13" s="33"/>
      <c r="P13" s="33"/>
      <c r="R13" s="32"/>
    </row>
    <row r="14" spans="1:18">
      <c r="A14" s="6" t="s">
        <v>34</v>
      </c>
      <c r="B14" s="37">
        <f t="shared" si="0"/>
        <v>1756.8340000000001</v>
      </c>
      <c r="C14" s="33"/>
      <c r="D14" s="37">
        <f>IF( ISERROR(IND_chemie_gas_kWh/1000),0,IND_chemie_gas_kWh/1000)*0.902</f>
        <v>631.91594399999997</v>
      </c>
      <c r="E14" s="33">
        <f>C36*'E Balans VL '!I24/100/3.6*1000000</f>
        <v>6.5866593897426746</v>
      </c>
      <c r="F14" s="33">
        <f>C36*'E Balans VL '!L24/100/3.6*1000000+C36*'E Balans VL '!N24/100/3.6*1000000</f>
        <v>20.438923338073781</v>
      </c>
      <c r="G14" s="34"/>
      <c r="H14" s="33"/>
      <c r="I14" s="33"/>
      <c r="J14" s="40">
        <f>C36*'E Balans VL '!D24/100/3.6*1000000+C36*'E Balans VL '!E24/100/3.6*1000000</f>
        <v>0</v>
      </c>
      <c r="K14" s="33"/>
      <c r="L14" s="33"/>
      <c r="M14" s="33"/>
      <c r="N14" s="33">
        <f>C36*'E Balans VL '!Y24/100/3.6*1000000</f>
        <v>30.01466575109356</v>
      </c>
      <c r="O14" s="33"/>
      <c r="P14" s="33"/>
      <c r="R14" s="32"/>
    </row>
    <row r="15" spans="1:18">
      <c r="A15" s="6" t="s">
        <v>270</v>
      </c>
      <c r="B15" s="37">
        <f t="shared" si="0"/>
        <v>69.138999999999996</v>
      </c>
      <c r="C15" s="33"/>
      <c r="D15" s="37">
        <f>IF( ISERROR(IND_rest_gas_kWh/1000),0,IND_rest_gas_kWh/1000)*0.902</f>
        <v>30.446107999999999</v>
      </c>
      <c r="E15" s="33">
        <f>C37*'E Balans VL '!I15/100/3.6*1000000</f>
        <v>3.5173159763900919</v>
      </c>
      <c r="F15" s="33">
        <f>C37*'E Balans VL '!L15/100/3.6*1000000+C37*'E Balans VL '!N15/100/3.6*1000000</f>
        <v>15.759379400606655</v>
      </c>
      <c r="G15" s="34"/>
      <c r="H15" s="33"/>
      <c r="I15" s="33"/>
      <c r="J15" s="40">
        <f>C37*'E Balans VL '!D15/100/3.6*1000000+C37*'E Balans VL '!E15/100/3.6*1000000</f>
        <v>0.29006094581946018</v>
      </c>
      <c r="K15" s="33"/>
      <c r="L15" s="33"/>
      <c r="M15" s="33"/>
      <c r="N15" s="33">
        <f>C37*'E Balans VL '!Y15/100/3.6*1000000</f>
        <v>12.990103595552306</v>
      </c>
      <c r="O15" s="33"/>
      <c r="P15" s="33"/>
      <c r="R15" s="32"/>
    </row>
    <row r="16" spans="1:18">
      <c r="A16" s="16" t="s">
        <v>494</v>
      </c>
      <c r="B16" s="247">
        <f>'lokale energieproductie'!N89+'lokale energieproductie'!N58</f>
        <v>225</v>
      </c>
      <c r="C16" s="247">
        <f>'lokale energieproductie'!O89+'lokale energieproductie'!O58</f>
        <v>321.42857142857144</v>
      </c>
      <c r="D16" s="310">
        <f>('lokale energieproductie'!P58+'lokale energieproductie'!P89)*(-1)</f>
        <v>-642.85714285714289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63813.931999999993</v>
      </c>
      <c r="C18" s="21">
        <f>C5+C16</f>
        <v>321.42857142857144</v>
      </c>
      <c r="D18" s="21">
        <f>MAX((D5+D16),0)</f>
        <v>70353.06495314285</v>
      </c>
      <c r="E18" s="21">
        <f>MAX((E5+E16),0)</f>
        <v>8921.1952156610514</v>
      </c>
      <c r="F18" s="21">
        <f>MAX((F5+F16),0)</f>
        <v>47296.872827876585</v>
      </c>
      <c r="G18" s="21"/>
      <c r="H18" s="21"/>
      <c r="I18" s="21"/>
      <c r="J18" s="21">
        <f>MAX((J5+J16),0)</f>
        <v>280.43164003758278</v>
      </c>
      <c r="K18" s="21"/>
      <c r="L18" s="21">
        <f>MAX((L5+L16),0)</f>
        <v>0</v>
      </c>
      <c r="M18" s="21"/>
      <c r="N18" s="21">
        <f>MAX((N5+N16),0)</f>
        <v>17753.549347183307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0.19900991968507181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12699.605482108633</v>
      </c>
      <c r="C22" s="23">
        <f ca="1">C18*C20</f>
        <v>76.386554621848759</v>
      </c>
      <c r="D22" s="23">
        <f>D18*D20</f>
        <v>14211.319120534856</v>
      </c>
      <c r="E22" s="23">
        <f>E18*E20</f>
        <v>2025.1113139550587</v>
      </c>
      <c r="F22" s="23">
        <f>F18*F20</f>
        <v>12628.265045043048</v>
      </c>
      <c r="G22" s="23"/>
      <c r="H22" s="23"/>
      <c r="I22" s="23"/>
      <c r="J22" s="23">
        <f>J18*J20</f>
        <v>99.272800573304295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694</v>
      </c>
    </row>
    <row r="29" spans="1:18">
      <c r="A29" s="171" t="s">
        <v>38</v>
      </c>
      <c r="B29" s="37">
        <f>IF( ISERROR(IND_nonf_ele_kWh/1000),0,IND_nonf_ele_kWh/1000)</f>
        <v>0</v>
      </c>
      <c r="C29" s="39">
        <f>IF(ISERROR(B29*3.6/1000000/'E Balans VL '!Z17*100),0,B29*3.6/1000000/'E Balans VL '!Z17*100)</f>
        <v>0</v>
      </c>
      <c r="D29" s="237" t="s">
        <v>694</v>
      </c>
    </row>
    <row r="30" spans="1:18">
      <c r="A30" s="171" t="s">
        <v>36</v>
      </c>
      <c r="B30" s="37">
        <f>IF( ISERROR(IND_metaal_ele_kWh/1000),0,IND_metaal_ele_kWh/1000)</f>
        <v>3807.8420000000001</v>
      </c>
      <c r="C30" s="39">
        <f>IF(ISERROR(B30*3.6/1000000/'E Balans VL '!Z18*100),0,B30*3.6/1000000/'E Balans VL '!Z18*100)</f>
        <v>0.53297098226347206</v>
      </c>
      <c r="D30" s="237" t="s">
        <v>694</v>
      </c>
    </row>
    <row r="31" spans="1:18">
      <c r="A31" s="6" t="s">
        <v>33</v>
      </c>
      <c r="B31" s="37">
        <f>IF( ISERROR(IND_ander_ele_kWh/1000),0,IND_ander_ele_kWh/1000)</f>
        <v>31497.716</v>
      </c>
      <c r="C31" s="39">
        <f>IF(ISERROR(B31*3.6/1000000/'E Balans VL '!Z19*100),0,B31*3.6/1000000/'E Balans VL '!Z19*100)</f>
        <v>1.3786499196645139</v>
      </c>
      <c r="D31" s="237" t="s">
        <v>694</v>
      </c>
    </row>
    <row r="32" spans="1:18">
      <c r="A32" s="171" t="s">
        <v>41</v>
      </c>
      <c r="B32" s="37">
        <f>IF( ISERROR(IND_voed_ele_kWh/1000),0,IND_voed_ele_kWh/1000)</f>
        <v>11009.55</v>
      </c>
      <c r="C32" s="39">
        <f>IF(ISERROR(B32*3.6/1000000/'E Balans VL '!Z20*100),0,B32*3.6/1000000/'E Balans VL '!Z20*100)</f>
        <v>2.7255989708783455</v>
      </c>
      <c r="D32" s="237" t="s">
        <v>694</v>
      </c>
    </row>
    <row r="33" spans="1:5">
      <c r="A33" s="171" t="s">
        <v>40</v>
      </c>
      <c r="B33" s="37">
        <f>IF( ISERROR(IND_textiel_ele_kWh/1000),0,IND_textiel_ele_kWh/1000)</f>
        <v>405.36</v>
      </c>
      <c r="C33" s="39">
        <f>IF(ISERROR(B33*3.6/1000000/'E Balans VL '!Z21*100),0,B33*3.6/1000000/'E Balans VL '!Z21*100)</f>
        <v>4.5676931517814587E-2</v>
      </c>
      <c r="D33" s="237" t="s">
        <v>694</v>
      </c>
    </row>
    <row r="34" spans="1:5">
      <c r="A34" s="171" t="s">
        <v>37</v>
      </c>
      <c r="B34" s="37">
        <f>IF( ISERROR(IND_min_ele_kWh/1000),0,IND_min_ele_kWh/1000)</f>
        <v>11226.915999999999</v>
      </c>
      <c r="C34" s="39">
        <f>IF(ISERROR(B34*3.6/1000000/'E Balans VL '!Z22*100),0,B34*3.6/1000000/'E Balans VL '!Z22*100)</f>
        <v>0.31857407272439636</v>
      </c>
      <c r="D34" s="237" t="s">
        <v>694</v>
      </c>
    </row>
    <row r="35" spans="1:5">
      <c r="A35" s="171" t="s">
        <v>39</v>
      </c>
      <c r="B35" s="37">
        <f>IF( ISERROR(IND_papier_ele_kWh/1000),0,IND_papier_ele_kWh/1000)</f>
        <v>3815.5749999999998</v>
      </c>
      <c r="C35" s="39">
        <f>IF(ISERROR(B35*3.6/1000000/'E Balans VL '!Z22*100),0,B35*3.6/1000000/'E Balans VL '!Z22*100)</f>
        <v>0.10827045179062432</v>
      </c>
      <c r="D35" s="237" t="s">
        <v>694</v>
      </c>
    </row>
    <row r="36" spans="1:5">
      <c r="A36" s="171" t="s">
        <v>34</v>
      </c>
      <c r="B36" s="37">
        <f>IF( ISERROR(IND_chemie_ele_kWh/1000),0,IND_chemie_ele_kWh/1000)</f>
        <v>1756.8340000000001</v>
      </c>
      <c r="C36" s="39">
        <f>IF(ISERROR(B36*3.6/1000000/'E Balans VL '!Z24*100),0,B36*3.6/1000000/'E Balans VL '!Z24*100)</f>
        <v>4.4796585479405328E-2</v>
      </c>
      <c r="D36" s="237" t="s">
        <v>694</v>
      </c>
    </row>
    <row r="37" spans="1:5">
      <c r="A37" s="171" t="s">
        <v>270</v>
      </c>
      <c r="B37" s="37">
        <f>IF( ISERROR(IND_rest_ele_kWh/1000),0,IND_rest_ele_kWh/1000)</f>
        <v>69.138999999999996</v>
      </c>
      <c r="C37" s="39">
        <f>IF(ISERROR(B37*3.6/1000000/'E Balans VL '!Z15*100),0,B37*3.6/1000000/'E Balans VL '!Z15*100)</f>
        <v>5.1265384790229608E-4</v>
      </c>
      <c r="D37" s="237" t="s">
        <v>694</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1979.6890000000001</v>
      </c>
      <c r="C5" s="17">
        <f>'Eigen informatie GS &amp; warmtenet'!B60</f>
        <v>0</v>
      </c>
      <c r="D5" s="30">
        <f>IF(ISERROR(SUM(LB_lb_gas_kWh,LB_rest_gas_kWh,onbekend_gas_kWh)/1000),0,SUM(LB_lb_gas_kWh,LB_rest_gas_kWh,onbekend_gas_kWh)/1000)*0.902</f>
        <v>2458.082594</v>
      </c>
      <c r="E5" s="17">
        <f>B17*'E Balans VL '!I25/3.6*1000000/100</f>
        <v>18.336708687972099</v>
      </c>
      <c r="F5" s="17">
        <f>B17*('E Balans VL '!L25/3.6*1000000+'E Balans VL '!N25/3.6*1000000)/100</f>
        <v>5022.848123367482</v>
      </c>
      <c r="G5" s="18"/>
      <c r="H5" s="17"/>
      <c r="I5" s="17"/>
      <c r="J5" s="17">
        <f>('E Balans VL '!D25+'E Balans VL '!E25)/3.6*1000000*landbouw!B17/100</f>
        <v>303.50841709372173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1979.6890000000001</v>
      </c>
      <c r="C8" s="21">
        <f>C5+C6</f>
        <v>0</v>
      </c>
      <c r="D8" s="21">
        <f>MAX((D5+D6),0)</f>
        <v>2458.082594</v>
      </c>
      <c r="E8" s="21">
        <f>MAX((E5+E6),0)</f>
        <v>18.336708687972099</v>
      </c>
      <c r="F8" s="21">
        <f>MAX((F5+F6),0)</f>
        <v>5022.848123367482</v>
      </c>
      <c r="G8" s="21"/>
      <c r="H8" s="21"/>
      <c r="I8" s="21"/>
      <c r="J8" s="21">
        <f>MAX((J5+J6),0)</f>
        <v>303.50841709372173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0.19900991968507181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393.97774889142016</v>
      </c>
      <c r="C12" s="23">
        <f ca="1">C8*C10</f>
        <v>0</v>
      </c>
      <c r="D12" s="23">
        <f>D8*D10</f>
        <v>496.53268398800003</v>
      </c>
      <c r="E12" s="23">
        <f>E8*E10</f>
        <v>4.1624328721696662</v>
      </c>
      <c r="F12" s="23">
        <f>F8*F10</f>
        <v>1341.1004489391178</v>
      </c>
      <c r="G12" s="23"/>
      <c r="H12" s="23"/>
      <c r="I12" s="23"/>
      <c r="J12" s="23">
        <f>J8*J10</f>
        <v>107.44197965117749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0.28146979913757297</v>
      </c>
      <c r="C17" s="237" t="s">
        <v>694</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221.02401192280777</v>
      </c>
      <c r="C26" s="247">
        <f>B26*'GWP N2O_CH4'!B5</f>
        <v>4641.5042503789637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70.6184180364166</v>
      </c>
      <c r="C27" s="247">
        <f>B27*'GWP N2O_CH4'!B5</f>
        <v>1482.9867787647486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5.9447262389105759</v>
      </c>
      <c r="C28" s="247">
        <f>B28*'GWP N2O_CH4'!B4</f>
        <v>1842.8651340622785</v>
      </c>
      <c r="D28" s="50"/>
    </row>
    <row r="29" spans="1:4">
      <c r="A29" s="41" t="s">
        <v>277</v>
      </c>
      <c r="B29" s="247">
        <f>B34*'ha_N2O bodem landbouw'!B4</f>
        <v>20.322746543099392</v>
      </c>
      <c r="C29" s="247">
        <f>B29*'GWP N2O_CH4'!B4</f>
        <v>6300.0514283608118</v>
      </c>
      <c r="D29" s="50"/>
    </row>
    <row r="31" spans="1:4">
      <c r="A31" s="193" t="s">
        <v>501</v>
      </c>
      <c r="B31" s="203"/>
      <c r="C31" s="225"/>
    </row>
    <row r="32" spans="1:4">
      <c r="A32" s="236"/>
      <c r="B32" s="32"/>
      <c r="C32" s="237"/>
    </row>
    <row r="33" spans="1:5">
      <c r="A33" s="238"/>
      <c r="B33" s="224" t="s">
        <v>636</v>
      </c>
      <c r="C33" s="239" t="s">
        <v>182</v>
      </c>
    </row>
    <row r="34" spans="1:5">
      <c r="A34" s="257" t="s">
        <v>112</v>
      </c>
      <c r="B34" s="35">
        <f>IF(ISERROR(aantalCultuurgronden/'ha_N2O bodem landbouw'!B5),0,aantalCultuurgronden/'ha_N2O bodem landbouw'!B5)</f>
        <v>4.5580340174838467E-3</v>
      </c>
      <c r="C34" s="995" t="s">
        <v>671</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3.3173816173029706E-4</v>
      </c>
      <c r="C5" s="464" t="s">
        <v>211</v>
      </c>
      <c r="D5" s="449">
        <f>SUM(D6:D11)</f>
        <v>8.6568527477856453E-4</v>
      </c>
      <c r="E5" s="449">
        <f>SUM(E6:E11)</f>
        <v>5.9487565312625968E-3</v>
      </c>
      <c r="F5" s="462" t="s">
        <v>211</v>
      </c>
      <c r="G5" s="449">
        <f>SUM(G6:G11)</f>
        <v>1.6216941454763465</v>
      </c>
      <c r="H5" s="449">
        <f>SUM(H6:H11)</f>
        <v>0.33182473883895691</v>
      </c>
      <c r="I5" s="464" t="s">
        <v>211</v>
      </c>
      <c r="J5" s="464" t="s">
        <v>211</v>
      </c>
      <c r="K5" s="464" t="s">
        <v>211</v>
      </c>
      <c r="L5" s="464" t="s">
        <v>211</v>
      </c>
      <c r="M5" s="449">
        <f>SUM(M6:M11)</f>
        <v>0.10402246372154184</v>
      </c>
      <c r="N5" s="464" t="s">
        <v>211</v>
      </c>
      <c r="O5" s="464" t="s">
        <v>211</v>
      </c>
      <c r="P5" s="465" t="s">
        <v>211</v>
      </c>
    </row>
    <row r="6" spans="1:18">
      <c r="A6" s="261" t="s">
        <v>717</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1.7741112131952589E-4</v>
      </c>
      <c r="C6" s="450"/>
      <c r="D6" s="963">
        <f>vkm_2011_GW_PW*SUMIFS(TableVerdeelsleutelVkm[CNG],TableVerdeelsleutelVkm[Voertuigtype],"Lichte voertuigen")*SUMIFS(TableECFTransport[EnergieConsumptieFactor (PJ per km)],TableECFTransport[Index],CONCATENATE($A6,"_CNG_CNG"))</f>
        <v>4.1037145576740719E-4</v>
      </c>
      <c r="E6" s="963">
        <f>vkm_2011_GW_PW*SUMIFS(TableVerdeelsleutelVkm[LPG],TableVerdeelsleutelVkm[Voertuigtype],"Lichte voertuigen")*SUMIFS(TableECFTransport[EnergieConsumptieFactor (PJ per km)],TableECFTransport[Index],CONCATENATE($A6,"_LPG_LPG"))</f>
        <v>2.672091103576725E-3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0.55510715791685161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0.15647323618460066</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3.6927333669629733E-2</v>
      </c>
      <c r="N6" s="450"/>
      <c r="O6" s="450"/>
      <c r="P6" s="451"/>
    </row>
    <row r="7" spans="1:18">
      <c r="A7" s="261" t="s">
        <v>718</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0.23968557570274324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8.1968113997515717E-5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1.3867169153901843E-2</v>
      </c>
      <c r="N7" s="450"/>
      <c r="O7" s="450"/>
      <c r="P7" s="451"/>
      <c r="R7" s="959"/>
    </row>
    <row r="8" spans="1:18">
      <c r="A8" s="261" t="s">
        <v>719</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4.863633203571194E-5</v>
      </c>
      <c r="C8" s="450"/>
      <c r="D8" s="452">
        <f>vkm_2011_NGW_PW*SUMIFS(TableVerdeelsleutelVkm[CNG],TableVerdeelsleutelVkm[Voertuigtype],"Lichte voertuigen")*SUMIFS(TableECFTransport[EnergieConsumptieFactor (PJ per km)],TableECFTransport[Index],CONCATENATE($A8,"_CNG_CNG"))</f>
        <v>1.9898172844494229E-4</v>
      </c>
      <c r="E8" s="452">
        <f>vkm_2011_NGW_PW*SUMIFS(TableVerdeelsleutelVkm[LPG],TableVerdeelsleutelVkm[Voertuigtype],"Lichte voertuigen")*SUMIFS(TableECFTransport[EnergieConsumptieFactor (PJ per km)],TableECFTransport[Index],CONCATENATE($A8,"_LPG_LPG"))</f>
        <v>1.195749095545992E-3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0.23221271772245575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7.3361954929970372E-2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1.5690850180073542E-2</v>
      </c>
      <c r="N8" s="450"/>
      <c r="O8" s="450"/>
      <c r="P8" s="451"/>
      <c r="R8" s="959"/>
    </row>
    <row r="9" spans="1:18">
      <c r="A9" s="261" t="s">
        <v>720</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3.0886467588302868E-3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9.9945011248516163E-7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1.7869397329694332E-4</v>
      </c>
      <c r="N9" s="450"/>
      <c r="O9" s="450"/>
      <c r="P9" s="451"/>
      <c r="R9" s="959"/>
    </row>
    <row r="10" spans="1:18">
      <c r="A10" s="261" t="s">
        <v>721</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1.0569070837505923E-4</v>
      </c>
      <c r="C10" s="450"/>
      <c r="D10" s="452">
        <f>vkm_2011_SW_PW*SUMIFS(TableVerdeelsleutelVkm[CNG],TableVerdeelsleutelVkm[Voertuigtype],"Lichte voertuigen")*SUMIFS(TableECFTransport[EnergieConsumptieFactor (PJ per km)],TableECFTransport[Index],CONCATENATE($A10,"_CNG_CNG"))</f>
        <v>2.5633209056621508E-4</v>
      </c>
      <c r="E10" s="452">
        <f>vkm_2011_SW_PW*SUMIFS(TableVerdeelsleutelVkm[LPG],TableVerdeelsleutelVkm[Voertuigtype],"Lichte voertuigen")*SUMIFS(TableECFTransport[EnergieConsumptieFactor (PJ per km)],TableECFTransport[Index],CONCATENATE($A10,"_LPG_LPG"))</f>
        <v>2.0809163321398798E-3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0.38919110238893956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0.10183197986152671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2.5647746342501224E-2</v>
      </c>
      <c r="N10" s="450"/>
      <c r="O10" s="450"/>
      <c r="P10" s="451"/>
      <c r="R10" s="959"/>
    </row>
    <row r="11" spans="1:18">
      <c r="A11" s="4" t="s">
        <v>722</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0.20240894498652612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7.460029874915547E-5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1.1710670402138561E-2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92.149489369526961</v>
      </c>
      <c r="C14" s="21"/>
      <c r="D14" s="21">
        <f t="shared" ref="D14:M14" si="0">((D5)*10^9/3600)+D12</f>
        <v>240.46813188293461</v>
      </c>
      <c r="E14" s="21">
        <f t="shared" si="0"/>
        <v>1652.4323697951659</v>
      </c>
      <c r="F14" s="21"/>
      <c r="G14" s="21">
        <f t="shared" si="0"/>
        <v>450470.5959656518</v>
      </c>
      <c r="H14" s="21">
        <f t="shared" si="0"/>
        <v>92173.538566376912</v>
      </c>
      <c r="I14" s="21"/>
      <c r="J14" s="21"/>
      <c r="K14" s="21"/>
      <c r="L14" s="21"/>
      <c r="M14" s="21">
        <f t="shared" si="0"/>
        <v>28895.128811539398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0.19900991968507181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18.33866247844994</v>
      </c>
      <c r="C18" s="23"/>
      <c r="D18" s="23">
        <f t="shared" ref="D18:M18" si="1">D14*D16</f>
        <v>48.574562640352795</v>
      </c>
      <c r="E18" s="23">
        <f t="shared" si="1"/>
        <v>375.10214794350264</v>
      </c>
      <c r="F18" s="23"/>
      <c r="G18" s="23">
        <f t="shared" si="1"/>
        <v>120275.64912282904</v>
      </c>
      <c r="H18" s="23">
        <f t="shared" si="1"/>
        <v>22951.21110302785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723</v>
      </c>
      <c r="D23" s="1000" t="s">
        <v>724</v>
      </c>
      <c r="E23" s="1000" t="s">
        <v>725</v>
      </c>
      <c r="F23" s="1000" t="s">
        <v>666</v>
      </c>
      <c r="G23" s="1000" t="s">
        <v>726</v>
      </c>
      <c r="H23" s="1000" t="s">
        <v>727</v>
      </c>
      <c r="I23" s="1000" t="s">
        <v>119</v>
      </c>
      <c r="J23" s="1000" t="s">
        <v>728</v>
      </c>
      <c r="K23" s="1000" t="s">
        <v>729</v>
      </c>
      <c r="L23" s="1001" t="s">
        <v>730</v>
      </c>
      <c r="M23" s="129" t="s">
        <v>182</v>
      </c>
      <c r="N23" s="268" t="s">
        <v>316</v>
      </c>
    </row>
    <row r="24" spans="1:18">
      <c r="A24" s="32" t="s">
        <v>715</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751</v>
      </c>
      <c r="N24" s="962">
        <f>SUM(B24:K24)</f>
        <v>1.0005804619716985</v>
      </c>
      <c r="O24" s="959" t="s">
        <v>667</v>
      </c>
    </row>
    <row r="25" spans="1:18">
      <c r="A25" s="32" t="s">
        <v>716</v>
      </c>
      <c r="B25" s="961" t="s">
        <v>752</v>
      </c>
      <c r="C25" s="985">
        <v>0.99948214585770268</v>
      </c>
      <c r="D25" s="961"/>
      <c r="E25" s="961"/>
      <c r="F25" s="985" t="s">
        <v>752</v>
      </c>
      <c r="G25" s="961" t="s">
        <v>752</v>
      </c>
      <c r="H25" s="961"/>
      <c r="I25" s="961" t="s">
        <v>752</v>
      </c>
      <c r="J25" s="961">
        <v>5.1785414229734263E-4</v>
      </c>
      <c r="K25" s="961" t="s">
        <v>752</v>
      </c>
      <c r="M25" s="269" t="s">
        <v>751</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766</v>
      </c>
      <c r="F31" s="53"/>
      <c r="G31" s="43"/>
      <c r="H31" s="43"/>
      <c r="I31" s="43"/>
      <c r="J31" s="43"/>
      <c r="K31" s="43"/>
      <c r="L31" s="174"/>
    </row>
    <row r="32" spans="1:18">
      <c r="A32" s="278" t="s">
        <v>321</v>
      </c>
      <c r="B32" s="279"/>
      <c r="C32" s="280"/>
      <c r="D32" s="279">
        <v>3.73E-2</v>
      </c>
      <c r="E32" s="997" t="s">
        <v>766</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753</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766</v>
      </c>
      <c r="F38" s="282"/>
      <c r="G38" s="58"/>
      <c r="H38" s="58"/>
      <c r="I38" s="58"/>
      <c r="J38" s="58"/>
      <c r="K38" s="58"/>
      <c r="L38" s="284"/>
    </row>
    <row r="39" spans="1:16">
      <c r="A39" s="278" t="s">
        <v>326</v>
      </c>
      <c r="B39" s="279"/>
      <c r="C39" s="280"/>
      <c r="D39" s="279">
        <v>2.8799999999999999E-2</v>
      </c>
      <c r="E39" s="997" t="s">
        <v>766</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753</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6.1724258564962817E-2</v>
      </c>
      <c r="H50" s="321">
        <f t="shared" si="2"/>
        <v>0</v>
      </c>
      <c r="I50" s="321">
        <f t="shared" si="2"/>
        <v>0</v>
      </c>
      <c r="J50" s="321">
        <f t="shared" si="2"/>
        <v>0</v>
      </c>
      <c r="K50" s="321">
        <f t="shared" si="2"/>
        <v>0</v>
      </c>
      <c r="L50" s="321">
        <f t="shared" si="2"/>
        <v>0</v>
      </c>
      <c r="M50" s="321">
        <f t="shared" si="2"/>
        <v>3.5199545300260188E-3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6.1724258564962817E-2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3.5199545300260188E-3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17145.62737915634</v>
      </c>
      <c r="H54" s="21">
        <f t="shared" si="3"/>
        <v>0</v>
      </c>
      <c r="I54" s="21">
        <f t="shared" si="3"/>
        <v>0</v>
      </c>
      <c r="J54" s="21">
        <f t="shared" si="3"/>
        <v>0</v>
      </c>
      <c r="K54" s="21">
        <f t="shared" si="3"/>
        <v>0</v>
      </c>
      <c r="L54" s="21">
        <f t="shared" si="3"/>
        <v>0</v>
      </c>
      <c r="M54" s="21">
        <f t="shared" si="3"/>
        <v>977.76514722944967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0.19900991968507181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4577.8825102347428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571</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787</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572</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15066.689400527019</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23797.256020241723</v>
      </c>
      <c r="C6" s="1223"/>
      <c r="D6" s="1226"/>
      <c r="E6" s="1226"/>
      <c r="F6" s="1229"/>
      <c r="G6" s="1232"/>
      <c r="H6" s="1220"/>
      <c r="I6" s="1226"/>
      <c r="J6" s="1226"/>
      <c r="K6" s="1226"/>
      <c r="L6" s="1256"/>
      <c r="M6" s="576"/>
      <c r="N6" s="1268"/>
      <c r="O6" s="1269"/>
      <c r="Q6" s="574"/>
      <c r="R6" s="1253"/>
      <c r="S6" s="1253"/>
    </row>
    <row r="7" spans="1:19" s="564" customFormat="1">
      <c r="A7" s="577" t="s">
        <v>252</v>
      </c>
      <c r="B7" s="578">
        <f>N57</f>
        <v>2231.7750000000001</v>
      </c>
      <c r="C7" s="579">
        <f>B100</f>
        <v>2625.6176470588243</v>
      </c>
      <c r="D7" s="580"/>
      <c r="E7" s="580">
        <f>E100</f>
        <v>0</v>
      </c>
      <c r="F7" s="581"/>
      <c r="G7" s="582"/>
      <c r="H7" s="580">
        <f>I100</f>
        <v>0</v>
      </c>
      <c r="I7" s="580">
        <f>G100+F100</f>
        <v>0</v>
      </c>
      <c r="J7" s="580">
        <f>H100+D100+C100</f>
        <v>0</v>
      </c>
      <c r="K7" s="580"/>
      <c r="L7" s="583"/>
      <c r="M7" s="584">
        <f>C7*$C$11+D7*$D$11+E7*$E$11+F7*$F$11+G7*$G$11+H7*$H$11+I7*$I$11+J7*$J$11</f>
        <v>530.37476470588251</v>
      </c>
      <c r="N7" s="1268"/>
      <c r="O7" s="1269"/>
      <c r="Q7" s="574"/>
      <c r="R7" s="1253"/>
      <c r="S7" s="1253"/>
    </row>
    <row r="8" spans="1:19" s="564" customFormat="1" ht="17.45" customHeight="1" thickBot="1">
      <c r="A8" s="585" t="s">
        <v>248</v>
      </c>
      <c r="B8" s="586">
        <f>N88+'Eigen informatie GS &amp; warmtenet'!B12</f>
        <v>1237.5</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42333.220420768739</v>
      </c>
      <c r="C9" s="595">
        <f t="shared" ref="C9:L9" si="0">SUM(C7:C8)</f>
        <v>2625.6176470588243</v>
      </c>
      <c r="D9" s="595">
        <f t="shared" si="0"/>
        <v>0</v>
      </c>
      <c r="E9" s="595">
        <f t="shared" si="0"/>
        <v>0</v>
      </c>
      <c r="F9" s="595">
        <f t="shared" si="0"/>
        <v>0</v>
      </c>
      <c r="G9" s="595">
        <f t="shared" si="0"/>
        <v>0</v>
      </c>
      <c r="H9" s="595">
        <f t="shared" si="0"/>
        <v>0</v>
      </c>
      <c r="I9" s="595">
        <f t="shared" si="0"/>
        <v>0</v>
      </c>
      <c r="J9" s="595">
        <f t="shared" si="0"/>
        <v>3535.7142857142858</v>
      </c>
      <c r="K9" s="595">
        <f t="shared" si="0"/>
        <v>0</v>
      </c>
      <c r="L9" s="595">
        <f t="shared" si="0"/>
        <v>0</v>
      </c>
      <c r="M9" s="596">
        <f>SUM(M4:M8)</f>
        <v>530.37476470588251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3188.25</v>
      </c>
      <c r="C16" s="611">
        <f>B101</f>
        <v>3750.882352941177</v>
      </c>
      <c r="D16" s="612"/>
      <c r="E16" s="612">
        <f>E101</f>
        <v>0</v>
      </c>
      <c r="F16" s="613"/>
      <c r="G16" s="614"/>
      <c r="H16" s="611">
        <f>I101</f>
        <v>0</v>
      </c>
      <c r="I16" s="612">
        <f>G101+F101</f>
        <v>0</v>
      </c>
      <c r="J16" s="612">
        <f>H101+D101+C101</f>
        <v>0</v>
      </c>
      <c r="K16" s="612"/>
      <c r="L16" s="615"/>
      <c r="M16" s="616">
        <f>C16*$C$21+E16*$E$21+H16*$H$21+I16*$I$21+J16*$J$21+D16*$D$21+F16*$F$21+G16*$G$21+K16*$K$21+L16*$L$21</f>
        <v>757.67823529411783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3188.25</v>
      </c>
      <c r="C19" s="594">
        <f>SUM(C16:C18)</f>
        <v>3750.882352941177</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757.67823529411783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71022</v>
      </c>
      <c r="C27" s="852">
        <v>3500</v>
      </c>
      <c r="D27" s="673" t="s">
        <v>871</v>
      </c>
      <c r="E27" s="672" t="s">
        <v>872</v>
      </c>
      <c r="F27" s="672" t="s">
        <v>873</v>
      </c>
      <c r="G27" s="672" t="s">
        <v>874</v>
      </c>
      <c r="H27" s="672" t="s">
        <v>875</v>
      </c>
      <c r="I27" s="672" t="s">
        <v>872</v>
      </c>
      <c r="J27" s="851">
        <v>39365</v>
      </c>
      <c r="K27" s="851">
        <v>39471</v>
      </c>
      <c r="L27" s="672" t="s">
        <v>876</v>
      </c>
      <c r="M27" s="672">
        <v>220</v>
      </c>
      <c r="N27" s="672">
        <v>990</v>
      </c>
      <c r="O27" s="672">
        <v>1414.2857142857142</v>
      </c>
      <c r="P27" s="672">
        <v>2828.5714285714289</v>
      </c>
      <c r="Q27" s="672">
        <v>0</v>
      </c>
      <c r="R27" s="672">
        <v>0</v>
      </c>
      <c r="S27" s="672">
        <v>0</v>
      </c>
      <c r="T27" s="672">
        <v>0</v>
      </c>
      <c r="U27" s="672">
        <v>0</v>
      </c>
      <c r="V27" s="672">
        <v>0</v>
      </c>
      <c r="W27" s="672">
        <v>0</v>
      </c>
      <c r="X27" s="672">
        <v>1500</v>
      </c>
      <c r="Y27" s="672" t="s">
        <v>51</v>
      </c>
      <c r="Z27" s="674" t="s">
        <v>156</v>
      </c>
    </row>
    <row r="28" spans="1:26" s="626" customFormat="1" ht="63.75">
      <c r="A28" s="625"/>
      <c r="B28" s="852">
        <v>71022</v>
      </c>
      <c r="C28" s="852">
        <v>3500</v>
      </c>
      <c r="D28" s="673" t="s">
        <v>877</v>
      </c>
      <c r="E28" s="672" t="s">
        <v>878</v>
      </c>
      <c r="F28" s="672" t="s">
        <v>879</v>
      </c>
      <c r="G28" s="672" t="s">
        <v>874</v>
      </c>
      <c r="H28" s="672" t="s">
        <v>875</v>
      </c>
      <c r="I28" s="672" t="s">
        <v>878</v>
      </c>
      <c r="J28" s="851">
        <v>39310</v>
      </c>
      <c r="K28" s="851">
        <v>39508</v>
      </c>
      <c r="L28" s="672" t="s">
        <v>876</v>
      </c>
      <c r="M28" s="672">
        <v>4.7</v>
      </c>
      <c r="N28" s="672">
        <v>21.150000000000002</v>
      </c>
      <c r="O28" s="672">
        <v>30.214285714285719</v>
      </c>
      <c r="P28" s="672">
        <v>60.428571428571438</v>
      </c>
      <c r="Q28" s="672">
        <v>0</v>
      </c>
      <c r="R28" s="672">
        <v>0</v>
      </c>
      <c r="S28" s="672">
        <v>0</v>
      </c>
      <c r="T28" s="672">
        <v>0</v>
      </c>
      <c r="U28" s="672">
        <v>0</v>
      </c>
      <c r="V28" s="672">
        <v>0</v>
      </c>
      <c r="W28" s="672">
        <v>0</v>
      </c>
      <c r="X28" s="672">
        <v>1600</v>
      </c>
      <c r="Y28" s="672" t="s">
        <v>50</v>
      </c>
      <c r="Z28" s="674" t="s">
        <v>156</v>
      </c>
    </row>
    <row r="29" spans="1:26" s="626" customFormat="1" ht="38.25">
      <c r="A29" s="625"/>
      <c r="B29" s="852">
        <v>71022</v>
      </c>
      <c r="C29" s="852">
        <v>3511</v>
      </c>
      <c r="D29" s="673" t="s">
        <v>880</v>
      </c>
      <c r="E29" s="672" t="s">
        <v>881</v>
      </c>
      <c r="F29" s="672" t="s">
        <v>882</v>
      </c>
      <c r="G29" s="672" t="s">
        <v>874</v>
      </c>
      <c r="H29" s="672" t="s">
        <v>875</v>
      </c>
      <c r="I29" s="672" t="s">
        <v>881</v>
      </c>
      <c r="J29" s="851">
        <v>40424</v>
      </c>
      <c r="K29" s="851">
        <v>40725</v>
      </c>
      <c r="L29" s="672" t="s">
        <v>876</v>
      </c>
      <c r="M29" s="672">
        <v>50</v>
      </c>
      <c r="N29" s="672">
        <v>225</v>
      </c>
      <c r="O29" s="672">
        <v>321.42857142857144</v>
      </c>
      <c r="P29" s="672">
        <v>642.85714285714289</v>
      </c>
      <c r="Q29" s="672">
        <v>0</v>
      </c>
      <c r="R29" s="672">
        <v>0</v>
      </c>
      <c r="S29" s="672">
        <v>0</v>
      </c>
      <c r="T29" s="672">
        <v>0</v>
      </c>
      <c r="U29" s="672">
        <v>0</v>
      </c>
      <c r="V29" s="672">
        <v>0</v>
      </c>
      <c r="W29" s="672">
        <v>0</v>
      </c>
      <c r="X29" s="672">
        <v>800</v>
      </c>
      <c r="Y29" s="672" t="s">
        <v>36</v>
      </c>
      <c r="Z29" s="674" t="s">
        <v>389</v>
      </c>
    </row>
    <row r="30" spans="1:26" s="626" customFormat="1" ht="38.25">
      <c r="A30" s="625"/>
      <c r="B30" s="852">
        <v>71022</v>
      </c>
      <c r="C30" s="852">
        <v>3500</v>
      </c>
      <c r="D30" s="673" t="s">
        <v>883</v>
      </c>
      <c r="E30" s="672" t="s">
        <v>884</v>
      </c>
      <c r="F30" s="672" t="s">
        <v>885</v>
      </c>
      <c r="G30" s="672" t="s">
        <v>874</v>
      </c>
      <c r="H30" s="672" t="s">
        <v>875</v>
      </c>
      <c r="I30" s="672" t="s">
        <v>884</v>
      </c>
      <c r="J30" s="851">
        <v>40904</v>
      </c>
      <c r="K30" s="851">
        <v>40904</v>
      </c>
      <c r="L30" s="672" t="s">
        <v>876</v>
      </c>
      <c r="M30" s="672">
        <v>220</v>
      </c>
      <c r="N30" s="672">
        <v>990</v>
      </c>
      <c r="O30" s="672">
        <v>1414.2857142857142</v>
      </c>
      <c r="P30" s="672">
        <v>2828.5714285714289</v>
      </c>
      <c r="Q30" s="672">
        <v>0</v>
      </c>
      <c r="R30" s="672">
        <v>0</v>
      </c>
      <c r="S30" s="672">
        <v>0</v>
      </c>
      <c r="T30" s="672">
        <v>0</v>
      </c>
      <c r="U30" s="672">
        <v>0</v>
      </c>
      <c r="V30" s="672">
        <v>0</v>
      </c>
      <c r="W30" s="672">
        <v>0</v>
      </c>
      <c r="X30" s="672">
        <v>1500</v>
      </c>
      <c r="Y30" s="672" t="s">
        <v>51</v>
      </c>
      <c r="Z30" s="674" t="s">
        <v>156</v>
      </c>
    </row>
    <row r="31" spans="1:26" s="626" customFormat="1" ht="25.5">
      <c r="A31" s="625"/>
      <c r="B31" s="852">
        <v>71022</v>
      </c>
      <c r="C31" s="852">
        <v>3511</v>
      </c>
      <c r="D31" s="673" t="s">
        <v>886</v>
      </c>
      <c r="E31" s="672" t="s">
        <v>887</v>
      </c>
      <c r="F31" s="672" t="s">
        <v>888</v>
      </c>
      <c r="G31" s="672" t="s">
        <v>874</v>
      </c>
      <c r="H31" s="672" t="s">
        <v>875</v>
      </c>
      <c r="I31" s="672" t="s">
        <v>889</v>
      </c>
      <c r="J31" s="851">
        <v>41907</v>
      </c>
      <c r="K31" s="851">
        <v>41907</v>
      </c>
      <c r="L31" s="672" t="s">
        <v>876</v>
      </c>
      <c r="M31" s="672">
        <v>5</v>
      </c>
      <c r="N31" s="672">
        <v>5.625</v>
      </c>
      <c r="O31" s="672">
        <v>8.0357142857142865</v>
      </c>
      <c r="P31" s="672">
        <v>16.071428571428573</v>
      </c>
      <c r="Q31" s="672">
        <v>0</v>
      </c>
      <c r="R31" s="672">
        <v>0</v>
      </c>
      <c r="S31" s="672">
        <v>0</v>
      </c>
      <c r="T31" s="672">
        <v>0</v>
      </c>
      <c r="U31" s="672">
        <v>0</v>
      </c>
      <c r="V31" s="672">
        <v>0</v>
      </c>
      <c r="W31" s="672">
        <v>0</v>
      </c>
      <c r="X31" s="672">
        <v>1300</v>
      </c>
      <c r="Y31" s="672" t="s">
        <v>54</v>
      </c>
      <c r="Z31" s="674" t="s">
        <v>156</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499.7</v>
      </c>
      <c r="N57" s="630">
        <f>SUM(N27:N56)</f>
        <v>2231.7750000000001</v>
      </c>
      <c r="O57" s="630">
        <f t="shared" ref="O57:W57" si="2">SUM(O27:O56)</f>
        <v>3188.25</v>
      </c>
      <c r="P57" s="630">
        <f t="shared" si="2"/>
        <v>6376.5000000000009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50</v>
      </c>
      <c r="N58" s="630">
        <f t="shared" ref="N58:W58" si="3">SUMIF($Z$27:$Z$56,"industrie",N27:N56)</f>
        <v>225</v>
      </c>
      <c r="O58" s="630">
        <f t="shared" si="3"/>
        <v>321.42857142857144</v>
      </c>
      <c r="P58" s="630">
        <f t="shared" si="3"/>
        <v>642.85714285714289</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449.7</v>
      </c>
      <c r="N59" s="630">
        <f ca="1">SUMIF($Z$27:AB56,"tertiair",N27:N56)</f>
        <v>2006.7750000000001</v>
      </c>
      <c r="O59" s="630">
        <f ca="1">SUMIF($Z$27:AC56,"tertiair",O27:O56)</f>
        <v>2866.8214285714284</v>
      </c>
      <c r="P59" s="630">
        <f ca="1">SUMIF($Z$27:AD56,"tertiair",P27:P56)</f>
        <v>5733.6428571428578</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71022</v>
      </c>
      <c r="C63" s="852">
        <v>3511</v>
      </c>
      <c r="D63" s="675" t="s">
        <v>890</v>
      </c>
      <c r="E63" s="675" t="s">
        <v>891</v>
      </c>
      <c r="F63" s="675" t="s">
        <v>892</v>
      </c>
      <c r="G63" s="675" t="s">
        <v>893</v>
      </c>
      <c r="H63" s="675" t="s">
        <v>894</v>
      </c>
      <c r="I63" s="675" t="s">
        <v>895</v>
      </c>
      <c r="J63" s="851">
        <v>32143</v>
      </c>
      <c r="K63" s="851">
        <v>37316</v>
      </c>
      <c r="L63" s="675" t="s">
        <v>876</v>
      </c>
      <c r="M63" s="675">
        <v>275</v>
      </c>
      <c r="N63" s="675">
        <v>1237.5</v>
      </c>
      <c r="O63" s="675">
        <v>0</v>
      </c>
      <c r="P63" s="675">
        <v>0</v>
      </c>
      <c r="Q63" s="675">
        <v>3535.7142857142858</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275</v>
      </c>
      <c r="N88" s="630">
        <f t="shared" ref="N88:W88" si="5">SUM(N63:N87)</f>
        <v>1237.5</v>
      </c>
      <c r="O88" s="630">
        <f t="shared" si="5"/>
        <v>0</v>
      </c>
      <c r="P88" s="630">
        <f t="shared" si="5"/>
        <v>0</v>
      </c>
      <c r="Q88" s="630">
        <f t="shared" si="5"/>
        <v>3535.7142857142858</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275</v>
      </c>
      <c r="N90" s="630">
        <f t="shared" ref="N90:W90" si="7">SUMIF($Z$63:$Z$88,"tertiair",N63:N88)</f>
        <v>1237.5</v>
      </c>
      <c r="O90" s="630">
        <f t="shared" si="7"/>
        <v>0</v>
      </c>
      <c r="P90" s="630">
        <f t="shared" si="7"/>
        <v>0</v>
      </c>
      <c r="Q90" s="630">
        <f t="shared" si="7"/>
        <v>3535.7142857142858</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2625.6176470588243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3750.882352941177</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708</v>
      </c>
      <c r="B2" s="377" t="s">
        <v>757</v>
      </c>
      <c r="C2" s="374" t="s">
        <v>193</v>
      </c>
      <c r="D2" s="374" t="s">
        <v>765</v>
      </c>
      <c r="E2" s="375"/>
      <c r="F2" s="969" t="s">
        <v>759</v>
      </c>
      <c r="G2" s="969" t="s">
        <v>760</v>
      </c>
      <c r="H2" s="969" t="s">
        <v>761</v>
      </c>
    </row>
    <row r="3" spans="1:8" s="11" customFormat="1">
      <c r="A3" s="1013" t="s">
        <v>766</v>
      </c>
      <c r="B3" s="1014" t="s">
        <v>768</v>
      </c>
      <c r="C3" s="1013" t="s">
        <v>767</v>
      </c>
      <c r="D3" s="374" t="s">
        <v>774</v>
      </c>
      <c r="E3" s="1016"/>
      <c r="F3" s="1017" t="s">
        <v>769</v>
      </c>
      <c r="G3" s="1018" t="s">
        <v>770</v>
      </c>
      <c r="H3" s="373" t="s">
        <v>771</v>
      </c>
    </row>
    <row r="4" spans="1:8" s="11" customFormat="1">
      <c r="A4" s="1013" t="s">
        <v>753</v>
      </c>
      <c r="B4" s="1014" t="s">
        <v>757</v>
      </c>
      <c r="C4" s="1013" t="s">
        <v>193</v>
      </c>
      <c r="D4" s="1015" t="s">
        <v>775</v>
      </c>
      <c r="E4" s="1016"/>
      <c r="F4" s="969" t="s">
        <v>759</v>
      </c>
      <c r="G4" s="969" t="s">
        <v>760</v>
      </c>
      <c r="H4" s="969" t="s">
        <v>761</v>
      </c>
    </row>
    <row r="5" spans="1:8" s="11" customFormat="1">
      <c r="A5" s="374" t="s">
        <v>410</v>
      </c>
      <c r="B5" s="860">
        <v>2015</v>
      </c>
      <c r="C5" s="374" t="s">
        <v>410</v>
      </c>
      <c r="D5" s="374" t="s">
        <v>772</v>
      </c>
      <c r="E5" s="375"/>
      <c r="F5" s="969" t="s">
        <v>762</v>
      </c>
      <c r="G5" s="969" t="s">
        <v>763</v>
      </c>
      <c r="H5" s="969" t="s">
        <v>764</v>
      </c>
    </row>
    <row r="6" spans="1:8">
      <c r="A6" s="369" t="s">
        <v>400</v>
      </c>
      <c r="B6" s="966" t="s">
        <v>706</v>
      </c>
      <c r="C6" s="369" t="s">
        <v>400</v>
      </c>
      <c r="D6" s="369" t="s">
        <v>705</v>
      </c>
      <c r="E6" s="371"/>
      <c r="F6" s="372" t="s">
        <v>401</v>
      </c>
      <c r="G6" s="372" t="s">
        <v>402</v>
      </c>
      <c r="H6" s="373" t="s">
        <v>403</v>
      </c>
    </row>
    <row r="7" spans="1:8">
      <c r="A7" s="369" t="s">
        <v>404</v>
      </c>
      <c r="B7" s="370" t="s">
        <v>706</v>
      </c>
      <c r="C7" s="369" t="s">
        <v>404</v>
      </c>
      <c r="D7" s="369" t="s">
        <v>707</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776</v>
      </c>
      <c r="B9" s="1019">
        <v>2014</v>
      </c>
      <c r="C9" s="1013" t="s">
        <v>410</v>
      </c>
      <c r="D9" s="1013" t="s">
        <v>777</v>
      </c>
      <c r="E9" s="1020" t="s">
        <v>778</v>
      </c>
      <c r="F9" s="1018"/>
      <c r="G9" s="1018"/>
      <c r="H9" s="373"/>
    </row>
    <row r="10" spans="1:8" s="959" customFormat="1">
      <c r="A10" s="1013" t="s">
        <v>802</v>
      </c>
      <c r="B10" s="1019">
        <v>2017</v>
      </c>
      <c r="C10" s="1013" t="s">
        <v>804</v>
      </c>
      <c r="D10" s="1013" t="s">
        <v>803</v>
      </c>
      <c r="E10" s="376" t="s">
        <v>801</v>
      </c>
      <c r="F10" s="1018"/>
      <c r="G10" s="1018"/>
      <c r="H10" s="373"/>
    </row>
    <row r="11" spans="1:8" s="11" customFormat="1">
      <c r="A11" s="374" t="s">
        <v>639</v>
      </c>
      <c r="B11" s="1008" t="str">
        <f>"juni 2016"</f>
        <v>juni 2016</v>
      </c>
      <c r="C11" s="374" t="s">
        <v>643</v>
      </c>
      <c r="D11" s="374" t="s">
        <v>644</v>
      </c>
      <c r="E11" s="375"/>
      <c r="F11" s="969" t="s">
        <v>640</v>
      </c>
      <c r="G11" s="969" t="s">
        <v>641</v>
      </c>
      <c r="H11" s="970" t="s">
        <v>642</v>
      </c>
    </row>
    <row r="12" spans="1:8" s="959" customFormat="1">
      <c r="A12" s="1021" t="s">
        <v>781</v>
      </c>
      <c r="B12" s="1022" t="s">
        <v>773</v>
      </c>
      <c r="C12" s="1021" t="s">
        <v>782</v>
      </c>
      <c r="D12" s="1021" t="s">
        <v>783</v>
      </c>
      <c r="E12" s="718"/>
      <c r="F12" s="1018" t="s">
        <v>784</v>
      </c>
      <c r="G12" s="1018" t="s">
        <v>785</v>
      </c>
      <c r="H12" s="373" t="s">
        <v>786</v>
      </c>
    </row>
    <row r="13" spans="1:8" s="959" customFormat="1">
      <c r="A13" s="1013" t="s">
        <v>779</v>
      </c>
      <c r="B13" s="1019">
        <v>2017</v>
      </c>
      <c r="C13" s="1013" t="s">
        <v>429</v>
      </c>
      <c r="D13" s="1013" t="s">
        <v>780</v>
      </c>
      <c r="E13" s="1020"/>
      <c r="F13" s="1018" t="s">
        <v>769</v>
      </c>
      <c r="G13" s="1018" t="s">
        <v>770</v>
      </c>
      <c r="H13" s="373" t="s">
        <v>771</v>
      </c>
    </row>
    <row r="14" spans="1:8" s="10" customFormat="1">
      <c r="A14" s="374" t="s">
        <v>412</v>
      </c>
      <c r="B14" s="370" t="s">
        <v>428</v>
      </c>
      <c r="C14" s="369"/>
      <c r="D14" s="378" t="s">
        <v>427</v>
      </c>
      <c r="E14" s="371"/>
      <c r="F14" s="372"/>
      <c r="G14" s="372"/>
      <c r="H14" s="373"/>
    </row>
    <row r="15" spans="1:8">
      <c r="A15" s="369" t="s">
        <v>395</v>
      </c>
      <c r="B15" s="370" t="s">
        <v>706</v>
      </c>
      <c r="C15" s="369"/>
      <c r="D15" s="369" t="s">
        <v>709</v>
      </c>
      <c r="E15" s="376" t="s">
        <v>396</v>
      </c>
      <c r="F15" s="372" t="s">
        <v>397</v>
      </c>
      <c r="G15" s="372" t="s">
        <v>398</v>
      </c>
      <c r="H15" s="372" t="s">
        <v>399</v>
      </c>
    </row>
    <row r="16" spans="1:8">
      <c r="A16" s="369" t="s">
        <v>411</v>
      </c>
      <c r="B16" s="370" t="s">
        <v>710</v>
      </c>
      <c r="C16" s="369" t="s">
        <v>411</v>
      </c>
      <c r="D16" s="369" t="s">
        <v>425</v>
      </c>
      <c r="E16" s="371"/>
      <c r="F16" s="372" t="s">
        <v>814</v>
      </c>
      <c r="G16" s="372" t="s">
        <v>815</v>
      </c>
      <c r="H16" s="372" t="s">
        <v>816</v>
      </c>
    </row>
    <row r="17" spans="1:10" s="967" customFormat="1">
      <c r="A17" s="971" t="s">
        <v>516</v>
      </c>
      <c r="B17" s="972" t="s">
        <v>380</v>
      </c>
      <c r="C17" s="971" t="s">
        <v>378</v>
      </c>
      <c r="D17" s="973" t="s">
        <v>379</v>
      </c>
      <c r="E17" s="974" t="s">
        <v>381</v>
      </c>
      <c r="F17" s="1023" t="s">
        <v>788</v>
      </c>
      <c r="G17" s="1023" t="s">
        <v>789</v>
      </c>
      <c r="H17" s="373" t="s">
        <v>790</v>
      </c>
      <c r="I17" s="959"/>
    </row>
    <row r="18" spans="1:10" s="967" customFormat="1">
      <c r="A18" s="971" t="s">
        <v>516</v>
      </c>
      <c r="B18" s="972" t="s">
        <v>808</v>
      </c>
      <c r="C18" s="971" t="s">
        <v>810</v>
      </c>
      <c r="D18" s="973" t="s">
        <v>811</v>
      </c>
      <c r="E18" s="974"/>
      <c r="F18" s="1017" t="s">
        <v>788</v>
      </c>
      <c r="G18" s="1017" t="s">
        <v>789</v>
      </c>
      <c r="H18" s="1017" t="s">
        <v>790</v>
      </c>
    </row>
    <row r="19" spans="1:10" s="11" customFormat="1">
      <c r="A19" s="374" t="s">
        <v>515</v>
      </c>
      <c r="B19" s="377" t="s">
        <v>706</v>
      </c>
      <c r="C19" s="374" t="s">
        <v>429</v>
      </c>
      <c r="D19" s="374" t="s">
        <v>712</v>
      </c>
      <c r="E19" s="375"/>
      <c r="F19" s="1017" t="s">
        <v>788</v>
      </c>
      <c r="G19" s="1017" t="s">
        <v>789</v>
      </c>
      <c r="H19" s="1017" t="s">
        <v>790</v>
      </c>
      <c r="I19" s="959"/>
    </row>
    <row r="20" spans="1:10" s="10" customFormat="1">
      <c r="A20" s="374" t="s">
        <v>514</v>
      </c>
      <c r="B20" s="377" t="s">
        <v>513</v>
      </c>
      <c r="C20" s="374" t="s">
        <v>512</v>
      </c>
      <c r="D20" s="374" t="s">
        <v>511</v>
      </c>
      <c r="E20" s="368"/>
      <c r="F20" s="1017"/>
      <c r="G20" s="1017"/>
      <c r="H20" s="1017"/>
    </row>
    <row r="21" spans="1:10">
      <c r="A21" s="374" t="s">
        <v>193</v>
      </c>
      <c r="B21" s="860" t="s">
        <v>706</v>
      </c>
      <c r="C21" s="374" t="s">
        <v>430</v>
      </c>
      <c r="D21" s="374" t="s">
        <v>713</v>
      </c>
      <c r="E21" s="371"/>
      <c r="F21" s="1017" t="s">
        <v>431</v>
      </c>
      <c r="G21" s="1017" t="s">
        <v>432</v>
      </c>
      <c r="H21" s="1017" t="s">
        <v>433</v>
      </c>
    </row>
    <row r="22" spans="1:10" s="959" customFormat="1">
      <c r="A22" s="374" t="s">
        <v>411</v>
      </c>
      <c r="B22" s="860" t="s">
        <v>809</v>
      </c>
      <c r="C22" s="374" t="s">
        <v>411</v>
      </c>
      <c r="D22" s="374" t="s">
        <v>812</v>
      </c>
      <c r="E22" s="371"/>
      <c r="F22" s="1017" t="s">
        <v>820</v>
      </c>
      <c r="G22" s="1017" t="s">
        <v>821</v>
      </c>
      <c r="H22" s="1017" t="s">
        <v>822</v>
      </c>
      <c r="I22"/>
    </row>
    <row r="23" spans="1:10" s="959" customFormat="1">
      <c r="A23" s="374" t="s">
        <v>411</v>
      </c>
      <c r="B23" s="860" t="s">
        <v>808</v>
      </c>
      <c r="C23" s="374" t="s">
        <v>411</v>
      </c>
      <c r="D23" s="374" t="s">
        <v>813</v>
      </c>
      <c r="E23" s="371"/>
      <c r="F23" s="1017" t="s">
        <v>817</v>
      </c>
      <c r="G23" s="1017" t="s">
        <v>818</v>
      </c>
      <c r="H23" s="1017" t="s">
        <v>819</v>
      </c>
    </row>
    <row r="24" spans="1:10" s="11" customFormat="1">
      <c r="A24" s="374" t="s">
        <v>409</v>
      </c>
      <c r="B24" s="1008" t="str">
        <f>"maart 2016"</f>
        <v>maart 2016</v>
      </c>
      <c r="C24" s="374" t="s">
        <v>409</v>
      </c>
      <c r="D24" s="374" t="s">
        <v>672</v>
      </c>
      <c r="E24" s="375" t="s">
        <v>673</v>
      </c>
      <c r="F24" s="1017" t="s">
        <v>823</v>
      </c>
      <c r="G24" s="1017" t="s">
        <v>824</v>
      </c>
      <c r="H24" s="1017" t="s">
        <v>825</v>
      </c>
      <c r="I24" s="959"/>
      <c r="J24" s="959"/>
    </row>
    <row r="25" spans="1:10" s="11" customFormat="1">
      <c r="A25" s="374" t="s">
        <v>409</v>
      </c>
      <c r="B25" s="1008" t="str">
        <f>"maart 2016"</f>
        <v>maart 2016</v>
      </c>
      <c r="C25" s="374" t="s">
        <v>409</v>
      </c>
      <c r="D25" s="1009" t="s">
        <v>649</v>
      </c>
      <c r="E25" s="375" t="s">
        <v>426</v>
      </c>
      <c r="F25" s="1017" t="s">
        <v>823</v>
      </c>
      <c r="G25" s="1017" t="s">
        <v>824</v>
      </c>
      <c r="H25" s="1017" t="s">
        <v>825</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203508.51051252277</v>
      </c>
      <c r="D10" s="719">
        <f ca="1">tertiair!C16</f>
        <v>2866.8214285714284</v>
      </c>
      <c r="E10" s="719">
        <f ca="1">tertiair!D16</f>
        <v>188387.53694485713</v>
      </c>
      <c r="F10" s="719">
        <f>tertiair!E16</f>
        <v>1711.8999050893003</v>
      </c>
      <c r="G10" s="719">
        <f ca="1">tertiair!F16</f>
        <v>28141.458509433938</v>
      </c>
      <c r="H10" s="719">
        <f>tertiair!G16</f>
        <v>0</v>
      </c>
      <c r="I10" s="719">
        <f>tertiair!H16</f>
        <v>0</v>
      </c>
      <c r="J10" s="719">
        <f>tertiair!I16</f>
        <v>0</v>
      </c>
      <c r="K10" s="719">
        <f>tertiair!J16</f>
        <v>0</v>
      </c>
      <c r="L10" s="719">
        <f>tertiair!K16</f>
        <v>0</v>
      </c>
      <c r="M10" s="719">
        <f ca="1">tertiair!L16</f>
        <v>0</v>
      </c>
      <c r="N10" s="719">
        <f>tertiair!M16</f>
        <v>0</v>
      </c>
      <c r="O10" s="719">
        <f ca="1">tertiair!N16</f>
        <v>9198.6839059161957</v>
      </c>
      <c r="P10" s="719">
        <f>tertiair!O16</f>
        <v>9.3800000000000008</v>
      </c>
      <c r="Q10" s="720">
        <f>tertiair!P16</f>
        <v>152.53333333333333</v>
      </c>
      <c r="R10" s="722">
        <f ca="1">SUM(C10:Q10)</f>
        <v>433976.8245397241</v>
      </c>
      <c r="S10" s="67"/>
    </row>
    <row r="11" spans="1:19" s="475" customFormat="1">
      <c r="A11" s="871" t="s">
        <v>225</v>
      </c>
      <c r="B11" s="876"/>
      <c r="C11" s="719">
        <f>huishoudens!B8</f>
        <v>131935.17400209361</v>
      </c>
      <c r="D11" s="719">
        <f>huishoudens!C8</f>
        <v>0</v>
      </c>
      <c r="E11" s="719">
        <f>huishoudens!D8</f>
        <v>317957.09534599999</v>
      </c>
      <c r="F11" s="719">
        <f>huishoudens!E8</f>
        <v>8077.6214814373816</v>
      </c>
      <c r="G11" s="719">
        <f>huishoudens!F8</f>
        <v>87841.468464707868</v>
      </c>
      <c r="H11" s="719">
        <f>huishoudens!G8</f>
        <v>0</v>
      </c>
      <c r="I11" s="719">
        <f>huishoudens!H8</f>
        <v>0</v>
      </c>
      <c r="J11" s="719">
        <f>huishoudens!I8</f>
        <v>0</v>
      </c>
      <c r="K11" s="719">
        <f>huishoudens!J8</f>
        <v>0</v>
      </c>
      <c r="L11" s="719">
        <f>huishoudens!K8</f>
        <v>0</v>
      </c>
      <c r="M11" s="719">
        <f>huishoudens!L8</f>
        <v>0</v>
      </c>
      <c r="N11" s="719">
        <f>huishoudens!M8</f>
        <v>0</v>
      </c>
      <c r="O11" s="719">
        <f>huishoudens!N8</f>
        <v>29514.474074388629</v>
      </c>
      <c r="P11" s="719">
        <f>huishoudens!O8</f>
        <v>911.42333333333329</v>
      </c>
      <c r="Q11" s="720">
        <f>huishoudens!P8</f>
        <v>2345.1999999999998</v>
      </c>
      <c r="R11" s="722">
        <f>SUM(C11:Q11)</f>
        <v>578582.45670196076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655</v>
      </c>
      <c r="B13" s="881" t="s">
        <v>653</v>
      </c>
      <c r="C13" s="719">
        <f>industrie!B18</f>
        <v>63813.931999999993</v>
      </c>
      <c r="D13" s="719">
        <f>industrie!C18</f>
        <v>321.42857142857144</v>
      </c>
      <c r="E13" s="719">
        <f>industrie!D18</f>
        <v>70353.06495314285</v>
      </c>
      <c r="F13" s="719">
        <f>industrie!E18</f>
        <v>8921.1952156610514</v>
      </c>
      <c r="G13" s="719">
        <f>industrie!F18</f>
        <v>47296.872827876585</v>
      </c>
      <c r="H13" s="719">
        <f>industrie!G18</f>
        <v>0</v>
      </c>
      <c r="I13" s="719">
        <f>industrie!H18</f>
        <v>0</v>
      </c>
      <c r="J13" s="719">
        <f>industrie!I18</f>
        <v>0</v>
      </c>
      <c r="K13" s="719">
        <f>industrie!J18</f>
        <v>280.43164003758278</v>
      </c>
      <c r="L13" s="719">
        <f>industrie!K18</f>
        <v>0</v>
      </c>
      <c r="M13" s="719">
        <f>industrie!L18</f>
        <v>0</v>
      </c>
      <c r="N13" s="719">
        <f>industrie!M18</f>
        <v>0</v>
      </c>
      <c r="O13" s="719">
        <f>industrie!N18</f>
        <v>17753.549347183307</v>
      </c>
      <c r="P13" s="719">
        <f>industrie!O18</f>
        <v>0</v>
      </c>
      <c r="Q13" s="720">
        <f>industrie!P18</f>
        <v>0</v>
      </c>
      <c r="R13" s="722">
        <f>SUM(C13:Q13)</f>
        <v>208740.47455532994</v>
      </c>
      <c r="S13" s="67"/>
    </row>
    <row r="14" spans="1:19" s="475" customFormat="1" ht="15" thickBot="1">
      <c r="A14" s="871"/>
      <c r="B14" s="882" t="s">
        <v>654</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399257.61651461635</v>
      </c>
      <c r="D15" s="724">
        <f t="shared" ref="D15:Q15" ca="1" si="0">SUM(D9:D14)</f>
        <v>3188.25</v>
      </c>
      <c r="E15" s="724">
        <f t="shared" ca="1" si="0"/>
        <v>576697.69724400004</v>
      </c>
      <c r="F15" s="724">
        <f t="shared" si="0"/>
        <v>18710.716602187735</v>
      </c>
      <c r="G15" s="724">
        <f t="shared" ca="1" si="0"/>
        <v>163279.79980201839</v>
      </c>
      <c r="H15" s="724">
        <f t="shared" si="0"/>
        <v>0</v>
      </c>
      <c r="I15" s="724">
        <f t="shared" si="0"/>
        <v>0</v>
      </c>
      <c r="J15" s="724">
        <f t="shared" si="0"/>
        <v>0</v>
      </c>
      <c r="K15" s="724">
        <f t="shared" si="0"/>
        <v>280.43164003758278</v>
      </c>
      <c r="L15" s="724">
        <f t="shared" si="0"/>
        <v>0</v>
      </c>
      <c r="M15" s="724">
        <f t="shared" ca="1" si="0"/>
        <v>0</v>
      </c>
      <c r="N15" s="724">
        <f t="shared" si="0"/>
        <v>0</v>
      </c>
      <c r="O15" s="724">
        <f t="shared" ca="1" si="0"/>
        <v>56466.707327488126</v>
      </c>
      <c r="P15" s="724">
        <f t="shared" si="0"/>
        <v>920.80333333333328</v>
      </c>
      <c r="Q15" s="725">
        <f t="shared" si="0"/>
        <v>2497.7333333333331</v>
      </c>
      <c r="R15" s="726">
        <f ca="1">SUM(R9:R14)</f>
        <v>1221299.7557970148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17145.62737915634</v>
      </c>
      <c r="I18" s="719">
        <f>transport!H54</f>
        <v>0</v>
      </c>
      <c r="J18" s="719">
        <f>transport!I54</f>
        <v>0</v>
      </c>
      <c r="K18" s="719">
        <f>transport!J54</f>
        <v>0</v>
      </c>
      <c r="L18" s="719">
        <f>transport!K54</f>
        <v>0</v>
      </c>
      <c r="M18" s="719">
        <f>transport!L54</f>
        <v>0</v>
      </c>
      <c r="N18" s="719">
        <f>transport!M54</f>
        <v>977.76514722944967</v>
      </c>
      <c r="O18" s="719">
        <f>transport!N54</f>
        <v>0</v>
      </c>
      <c r="P18" s="719">
        <f>transport!O54</f>
        <v>0</v>
      </c>
      <c r="Q18" s="720">
        <f>transport!P54</f>
        <v>0</v>
      </c>
      <c r="R18" s="722">
        <f>SUM(C18:Q18)</f>
        <v>18123.392526385789</v>
      </c>
      <c r="S18" s="67"/>
    </row>
    <row r="19" spans="1:19" s="475" customFormat="1" ht="15" thickBot="1">
      <c r="A19" s="871" t="s">
        <v>307</v>
      </c>
      <c r="B19" s="876"/>
      <c r="C19" s="728">
        <f>transport!B14</f>
        <v>92.149489369526961</v>
      </c>
      <c r="D19" s="728">
        <f>transport!C14</f>
        <v>0</v>
      </c>
      <c r="E19" s="728">
        <f>transport!D14</f>
        <v>240.46813188293461</v>
      </c>
      <c r="F19" s="728">
        <f>transport!E14</f>
        <v>1652.4323697951659</v>
      </c>
      <c r="G19" s="728">
        <f>transport!F14</f>
        <v>0</v>
      </c>
      <c r="H19" s="728">
        <f>transport!G14</f>
        <v>450470.5959656518</v>
      </c>
      <c r="I19" s="728">
        <f>transport!H14</f>
        <v>92173.538566376912</v>
      </c>
      <c r="J19" s="728">
        <f>transport!I14</f>
        <v>0</v>
      </c>
      <c r="K19" s="728">
        <f>transport!J14</f>
        <v>0</v>
      </c>
      <c r="L19" s="728">
        <f>transport!K14</f>
        <v>0</v>
      </c>
      <c r="M19" s="728">
        <f>transport!L14</f>
        <v>0</v>
      </c>
      <c r="N19" s="728">
        <f>transport!M14</f>
        <v>28895.128811539398</v>
      </c>
      <c r="O19" s="728">
        <f>transport!N14</f>
        <v>0</v>
      </c>
      <c r="P19" s="728">
        <f>transport!O14</f>
        <v>0</v>
      </c>
      <c r="Q19" s="729">
        <f>transport!P14</f>
        <v>0</v>
      </c>
      <c r="R19" s="730">
        <f>SUM(C19:Q19)</f>
        <v>573524.31333461578</v>
      </c>
      <c r="S19" s="67"/>
    </row>
    <row r="20" spans="1:19" s="475" customFormat="1" ht="15.75" thickBot="1">
      <c r="A20" s="731" t="s">
        <v>230</v>
      </c>
      <c r="B20" s="879"/>
      <c r="C20" s="874">
        <f>SUM(C17:C19)</f>
        <v>92.149489369526961</v>
      </c>
      <c r="D20" s="732">
        <f t="shared" ref="D20:R20" si="1">SUM(D17:D19)</f>
        <v>0</v>
      </c>
      <c r="E20" s="732">
        <f t="shared" si="1"/>
        <v>240.46813188293461</v>
      </c>
      <c r="F20" s="732">
        <f t="shared" si="1"/>
        <v>1652.4323697951659</v>
      </c>
      <c r="G20" s="732">
        <f t="shared" si="1"/>
        <v>0</v>
      </c>
      <c r="H20" s="732">
        <f t="shared" si="1"/>
        <v>467616.22334480815</v>
      </c>
      <c r="I20" s="732">
        <f t="shared" si="1"/>
        <v>92173.538566376912</v>
      </c>
      <c r="J20" s="732">
        <f t="shared" si="1"/>
        <v>0</v>
      </c>
      <c r="K20" s="732">
        <f t="shared" si="1"/>
        <v>0</v>
      </c>
      <c r="L20" s="732">
        <f t="shared" si="1"/>
        <v>0</v>
      </c>
      <c r="M20" s="732">
        <f t="shared" si="1"/>
        <v>0</v>
      </c>
      <c r="N20" s="732">
        <f t="shared" si="1"/>
        <v>29872.893958768847</v>
      </c>
      <c r="O20" s="732">
        <f t="shared" si="1"/>
        <v>0</v>
      </c>
      <c r="P20" s="732">
        <f t="shared" si="1"/>
        <v>0</v>
      </c>
      <c r="Q20" s="733">
        <f t="shared" si="1"/>
        <v>0</v>
      </c>
      <c r="R20" s="734">
        <f t="shared" si="1"/>
        <v>591647.70586100162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650</v>
      </c>
      <c r="B22" s="880"/>
      <c r="C22" s="728">
        <f>+landbouw!B8</f>
        <v>1979.6890000000001</v>
      </c>
      <c r="D22" s="728">
        <f>+landbouw!C8</f>
        <v>0</v>
      </c>
      <c r="E22" s="728">
        <f>+landbouw!D8</f>
        <v>2458.082594</v>
      </c>
      <c r="F22" s="728">
        <f>+landbouw!E8</f>
        <v>18.336708687972099</v>
      </c>
      <c r="G22" s="728">
        <f>+landbouw!F8</f>
        <v>5022.848123367482</v>
      </c>
      <c r="H22" s="728">
        <f>+landbouw!G8</f>
        <v>0</v>
      </c>
      <c r="I22" s="728">
        <f>+landbouw!H8</f>
        <v>0</v>
      </c>
      <c r="J22" s="728">
        <f>+landbouw!I8</f>
        <v>0</v>
      </c>
      <c r="K22" s="728">
        <f>+landbouw!J8</f>
        <v>303.50841709372173</v>
      </c>
      <c r="L22" s="728">
        <f>+landbouw!K8</f>
        <v>0</v>
      </c>
      <c r="M22" s="728">
        <f>+landbouw!L8</f>
        <v>0</v>
      </c>
      <c r="N22" s="728">
        <f>+landbouw!M8</f>
        <v>0</v>
      </c>
      <c r="O22" s="728">
        <f>+landbouw!N8</f>
        <v>0</v>
      </c>
      <c r="P22" s="728">
        <f>+landbouw!O8</f>
        <v>0</v>
      </c>
      <c r="Q22" s="729">
        <f>+landbouw!P8</f>
        <v>0</v>
      </c>
      <c r="R22" s="730">
        <f>SUM(C22:Q22)</f>
        <v>9782.4648431491769</v>
      </c>
      <c r="S22" s="67"/>
    </row>
    <row r="23" spans="1:19" s="475" customFormat="1" ht="17.25" thickTop="1" thickBot="1">
      <c r="A23" s="735" t="s">
        <v>116</v>
      </c>
      <c r="B23" s="865"/>
      <c r="C23" s="736">
        <f ca="1">C20+C15+C22</f>
        <v>401329.4550039859</v>
      </c>
      <c r="D23" s="736">
        <f t="shared" ref="D23:Q23" ca="1" si="2">D20+D15+D22</f>
        <v>3188.25</v>
      </c>
      <c r="E23" s="736">
        <f t="shared" ca="1" si="2"/>
        <v>579396.24796988303</v>
      </c>
      <c r="F23" s="736">
        <f t="shared" si="2"/>
        <v>20381.485680670874</v>
      </c>
      <c r="G23" s="736">
        <f t="shared" ca="1" si="2"/>
        <v>168302.64792538586</v>
      </c>
      <c r="H23" s="736">
        <f t="shared" si="2"/>
        <v>467616.22334480815</v>
      </c>
      <c r="I23" s="736">
        <f t="shared" si="2"/>
        <v>92173.538566376912</v>
      </c>
      <c r="J23" s="736">
        <f t="shared" si="2"/>
        <v>0</v>
      </c>
      <c r="K23" s="736">
        <f t="shared" si="2"/>
        <v>583.94005713130446</v>
      </c>
      <c r="L23" s="736">
        <f t="shared" si="2"/>
        <v>0</v>
      </c>
      <c r="M23" s="736">
        <f t="shared" ca="1" si="2"/>
        <v>0</v>
      </c>
      <c r="N23" s="736">
        <f t="shared" si="2"/>
        <v>29872.893958768847</v>
      </c>
      <c r="O23" s="736">
        <f t="shared" ca="1" si="2"/>
        <v>56466.707327488126</v>
      </c>
      <c r="P23" s="736">
        <f t="shared" si="2"/>
        <v>920.80333333333328</v>
      </c>
      <c r="Q23" s="737">
        <f t="shared" si="2"/>
        <v>2497.7333333333331</v>
      </c>
      <c r="R23" s="738">
        <f ca="1">R20+R15+R22</f>
        <v>1822729.9265011654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40500.212332325755</v>
      </c>
      <c r="D36" s="719">
        <f ca="1">tertiair!C20</f>
        <v>681.29168067226897</v>
      </c>
      <c r="E36" s="719">
        <f ca="1">tertiair!D20</f>
        <v>38054.282462861142</v>
      </c>
      <c r="F36" s="719">
        <f>tertiair!E20</f>
        <v>388.6012784552712</v>
      </c>
      <c r="G36" s="719">
        <f ca="1">tertiair!F20</f>
        <v>7513.7694220188623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87138.157176333305</v>
      </c>
    </row>
    <row r="37" spans="1:18">
      <c r="A37" s="886" t="s">
        <v>225</v>
      </c>
      <c r="B37" s="893"/>
      <c r="C37" s="719">
        <f ca="1">huishoudens!B12</f>
        <v>26256.408381792626</v>
      </c>
      <c r="D37" s="719">
        <f ca="1">huishoudens!C12</f>
        <v>0</v>
      </c>
      <c r="E37" s="719">
        <f>huishoudens!D12</f>
        <v>64227.333259892002</v>
      </c>
      <c r="F37" s="719">
        <f>huishoudens!E12</f>
        <v>1833.6200762862857</v>
      </c>
      <c r="G37" s="719">
        <f>huishoudens!F12</f>
        <v>23453.672080077002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115771.03379804791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656</v>
      </c>
      <c r="B39" s="901" t="s">
        <v>653</v>
      </c>
      <c r="C39" s="719">
        <f ca="1">industrie!B22</f>
        <v>12699.605482108633</v>
      </c>
      <c r="D39" s="719">
        <f ca="1">industrie!C22</f>
        <v>76.386554621848759</v>
      </c>
      <c r="E39" s="719">
        <f>industrie!D22</f>
        <v>14211.319120534856</v>
      </c>
      <c r="F39" s="719">
        <f>industrie!E22</f>
        <v>2025.1113139550587</v>
      </c>
      <c r="G39" s="719">
        <f>industrie!F22</f>
        <v>12628.265045043048</v>
      </c>
      <c r="H39" s="719">
        <f>industrie!G22</f>
        <v>0</v>
      </c>
      <c r="I39" s="719">
        <f>industrie!H22</f>
        <v>0</v>
      </c>
      <c r="J39" s="719">
        <f>industrie!I22</f>
        <v>0</v>
      </c>
      <c r="K39" s="719">
        <f>industrie!J22</f>
        <v>99.272800573304295</v>
      </c>
      <c r="L39" s="719">
        <f>industrie!K22</f>
        <v>0</v>
      </c>
      <c r="M39" s="719">
        <f>industrie!L22</f>
        <v>0</v>
      </c>
      <c r="N39" s="719">
        <f>industrie!M22</f>
        <v>0</v>
      </c>
      <c r="O39" s="719">
        <f>industrie!N22</f>
        <v>0</v>
      </c>
      <c r="P39" s="719">
        <f>industrie!O22</f>
        <v>0</v>
      </c>
      <c r="Q39" s="829">
        <f>industrie!P22</f>
        <v>0</v>
      </c>
      <c r="R39" s="919">
        <f ca="1">SUM(C39:Q39)</f>
        <v>41739.960316836747</v>
      </c>
    </row>
    <row r="40" spans="1:18" ht="15" thickBot="1">
      <c r="A40" s="895"/>
      <c r="B40" s="902" t="s">
        <v>654</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79456.226196227013</v>
      </c>
      <c r="D41" s="764">
        <f t="shared" ref="D41:R41" ca="1" si="4">SUM(D35:D40)</f>
        <v>757.67823529411771</v>
      </c>
      <c r="E41" s="764">
        <f t="shared" ca="1" si="4"/>
        <v>116492.93484328799</v>
      </c>
      <c r="F41" s="764">
        <f t="shared" si="4"/>
        <v>4247.3326686966157</v>
      </c>
      <c r="G41" s="764">
        <f t="shared" ca="1" si="4"/>
        <v>43595.706547138907</v>
      </c>
      <c r="H41" s="764">
        <f t="shared" si="4"/>
        <v>0</v>
      </c>
      <c r="I41" s="764">
        <f t="shared" si="4"/>
        <v>0</v>
      </c>
      <c r="J41" s="764">
        <f t="shared" si="4"/>
        <v>0</v>
      </c>
      <c r="K41" s="764">
        <f t="shared" si="4"/>
        <v>99.272800573304295</v>
      </c>
      <c r="L41" s="764">
        <f t="shared" si="4"/>
        <v>0</v>
      </c>
      <c r="M41" s="764">
        <f t="shared" ca="1" si="4"/>
        <v>0</v>
      </c>
      <c r="N41" s="764">
        <f t="shared" si="4"/>
        <v>0</v>
      </c>
      <c r="O41" s="764">
        <f t="shared" ca="1" si="4"/>
        <v>0</v>
      </c>
      <c r="P41" s="764">
        <f t="shared" si="4"/>
        <v>0</v>
      </c>
      <c r="Q41" s="765">
        <f t="shared" si="4"/>
        <v>0</v>
      </c>
      <c r="R41" s="766">
        <f t="shared" ca="1" si="4"/>
        <v>244649.15129121798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4577.8825102347428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4577.8825102347428</v>
      </c>
    </row>
    <row r="45" spans="1:18" ht="15" thickBot="1">
      <c r="A45" s="889" t="s">
        <v>307</v>
      </c>
      <c r="B45" s="899"/>
      <c r="C45" s="728">
        <f ca="1">transport!B18</f>
        <v>18.33866247844994</v>
      </c>
      <c r="D45" s="728">
        <f>transport!C18</f>
        <v>0</v>
      </c>
      <c r="E45" s="728">
        <f>transport!D18</f>
        <v>48.574562640352795</v>
      </c>
      <c r="F45" s="728">
        <f>transport!E18</f>
        <v>375.10214794350264</v>
      </c>
      <c r="G45" s="728">
        <f>transport!F18</f>
        <v>0</v>
      </c>
      <c r="H45" s="728">
        <f>transport!G18</f>
        <v>120275.64912282904</v>
      </c>
      <c r="I45" s="728">
        <f>transport!H18</f>
        <v>22951.21110302785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143668.8755989192</v>
      </c>
    </row>
    <row r="46" spans="1:18" ht="15.75" thickBot="1">
      <c r="A46" s="887" t="s">
        <v>230</v>
      </c>
      <c r="B46" s="900"/>
      <c r="C46" s="764">
        <f t="shared" ref="C46:R46" ca="1" si="5">SUM(C43:C45)</f>
        <v>18.33866247844994</v>
      </c>
      <c r="D46" s="764">
        <f t="shared" ca="1" si="5"/>
        <v>0</v>
      </c>
      <c r="E46" s="764">
        <f t="shared" si="5"/>
        <v>48.574562640352795</v>
      </c>
      <c r="F46" s="764">
        <f t="shared" si="5"/>
        <v>375.10214794350264</v>
      </c>
      <c r="G46" s="764">
        <f t="shared" si="5"/>
        <v>0</v>
      </c>
      <c r="H46" s="764">
        <f t="shared" si="5"/>
        <v>124853.53163306379</v>
      </c>
      <c r="I46" s="764">
        <f t="shared" si="5"/>
        <v>22951.21110302785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148246.75810915395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650</v>
      </c>
      <c r="B48" s="905"/>
      <c r="C48" s="719">
        <f ca="1">+landbouw!B12</f>
        <v>393.97774889142016</v>
      </c>
      <c r="D48" s="719">
        <f ca="1">+landbouw!C12</f>
        <v>0</v>
      </c>
      <c r="E48" s="719">
        <f>+landbouw!D12</f>
        <v>496.53268398800003</v>
      </c>
      <c r="F48" s="719">
        <f>+landbouw!E12</f>
        <v>4.1624328721696662</v>
      </c>
      <c r="G48" s="719">
        <f>+landbouw!F12</f>
        <v>1341.1004489391178</v>
      </c>
      <c r="H48" s="719">
        <f>+landbouw!G12</f>
        <v>0</v>
      </c>
      <c r="I48" s="719">
        <f>+landbouw!H12</f>
        <v>0</v>
      </c>
      <c r="J48" s="719">
        <f>+landbouw!I12</f>
        <v>0</v>
      </c>
      <c r="K48" s="719">
        <f>+landbouw!J12</f>
        <v>107.44197965117749</v>
      </c>
      <c r="L48" s="719">
        <f>+landbouw!K12</f>
        <v>0</v>
      </c>
      <c r="M48" s="719">
        <f>+landbouw!L12</f>
        <v>0</v>
      </c>
      <c r="N48" s="719">
        <f>+landbouw!M12</f>
        <v>0</v>
      </c>
      <c r="O48" s="719">
        <f>+landbouw!N12</f>
        <v>0</v>
      </c>
      <c r="P48" s="719">
        <f>+landbouw!O12</f>
        <v>0</v>
      </c>
      <c r="Q48" s="720">
        <f>+landbouw!P12</f>
        <v>0</v>
      </c>
      <c r="R48" s="762">
        <f ca="1">SUM(C48:Q48)</f>
        <v>2343.2152943418851</v>
      </c>
    </row>
    <row r="49" spans="1:18" ht="15.75">
      <c r="A49" s="864" t="s">
        <v>651</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79868.542607596886</v>
      </c>
      <c r="D53" s="774">
        <f t="shared" ref="D53:Q53" ca="1" si="6">D41+D46+D48</f>
        <v>757.67823529411771</v>
      </c>
      <c r="E53" s="774">
        <f t="shared" ca="1" si="6"/>
        <v>117038.04208991634</v>
      </c>
      <c r="F53" s="774">
        <f t="shared" si="6"/>
        <v>4626.5972495122887</v>
      </c>
      <c r="G53" s="774">
        <f t="shared" ca="1" si="6"/>
        <v>44936.806996078027</v>
      </c>
      <c r="H53" s="774">
        <f t="shared" si="6"/>
        <v>124853.53163306379</v>
      </c>
      <c r="I53" s="774">
        <f t="shared" si="6"/>
        <v>22951.21110302785</v>
      </c>
      <c r="J53" s="774">
        <f t="shared" si="6"/>
        <v>0</v>
      </c>
      <c r="K53" s="774">
        <f t="shared" si="6"/>
        <v>206.71478022448179</v>
      </c>
      <c r="L53" s="774">
        <f t="shared" si="6"/>
        <v>0</v>
      </c>
      <c r="M53" s="774">
        <f t="shared" ca="1" si="6"/>
        <v>0</v>
      </c>
      <c r="N53" s="774">
        <f t="shared" si="6"/>
        <v>0</v>
      </c>
      <c r="O53" s="774">
        <f t="shared" ca="1" si="6"/>
        <v>0</v>
      </c>
      <c r="P53" s="774">
        <f>P41+P46+P48</f>
        <v>0</v>
      </c>
      <c r="Q53" s="775">
        <f t="shared" si="6"/>
        <v>0</v>
      </c>
      <c r="R53" s="776">
        <f ca="1">R41+R46+R48</f>
        <v>395239.12469471386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0.19900991968507184</v>
      </c>
      <c r="D55" s="837">
        <f t="shared" ca="1" si="7"/>
        <v>0.23764705882352943</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659</v>
      </c>
      <c r="O61" s="1142" t="s">
        <v>658</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567</v>
      </c>
      <c r="C63" s="855" t="s">
        <v>657</v>
      </c>
      <c r="D63" s="789" t="s">
        <v>199</v>
      </c>
      <c r="E63" s="790" t="s">
        <v>200</v>
      </c>
      <c r="F63" s="791" t="s">
        <v>201</v>
      </c>
      <c r="G63" s="792" t="s">
        <v>203</v>
      </c>
      <c r="H63" s="793" t="s">
        <v>204</v>
      </c>
      <c r="I63" s="794"/>
      <c r="J63" s="790"/>
      <c r="K63" s="790"/>
      <c r="L63" s="790"/>
      <c r="M63" s="1148"/>
      <c r="N63" s="1133"/>
      <c r="O63" s="858" t="s">
        <v>660</v>
      </c>
      <c r="P63" s="856" t="s">
        <v>661</v>
      </c>
      <c r="Q63" s="786"/>
      <c r="R63" s="743"/>
    </row>
    <row r="64" spans="1:18" ht="15.75" thickTop="1">
      <c r="A64" s="795" t="s">
        <v>249</v>
      </c>
      <c r="B64" s="909">
        <f>'lokale energieproductie'!B4</f>
        <v>15066.689400527019</v>
      </c>
      <c r="C64" s="796">
        <f>'lokale energieproductie'!B4</f>
        <v>15066.689400527019</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23797.256020241723</v>
      </c>
      <c r="C66" s="796">
        <f>'lokale energieproductie'!B6</f>
        <v>23797.256020241723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2231.7750000000001</v>
      </c>
      <c r="C67" s="795">
        <f>B67*IFERROR(SUM(J67:L67)/SUM(D67:M67),0)</f>
        <v>0</v>
      </c>
      <c r="D67" s="827">
        <f>'lokale energieproductie'!C7</f>
        <v>2625.6176470588243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530.37476470588251</v>
      </c>
      <c r="P67" s="923">
        <v>0</v>
      </c>
      <c r="Q67" s="786"/>
      <c r="R67" s="743"/>
    </row>
    <row r="68" spans="1:18" ht="30.75" thickBot="1">
      <c r="A68" s="802" t="s">
        <v>353</v>
      </c>
      <c r="B68" s="795">
        <f>'lokale energieproductie'!B8</f>
        <v>1237.5</v>
      </c>
      <c r="C68" s="795">
        <f>B68*IFERROR(SUM(J68:L68)/SUM(D68:M68),0)</f>
        <v>1237.5</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3535.7142857142858</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42333.220420768739</v>
      </c>
      <c r="C69" s="804">
        <f>SUM(C64:C68)</f>
        <v>40101.445420768738</v>
      </c>
      <c r="D69" s="805">
        <f t="shared" ref="D69:M69" si="8">SUM(D67:D68)</f>
        <v>2625.6176470588243</v>
      </c>
      <c r="E69" s="805">
        <f t="shared" si="8"/>
        <v>0</v>
      </c>
      <c r="F69" s="805">
        <f t="shared" si="8"/>
        <v>0</v>
      </c>
      <c r="G69" s="805">
        <f t="shared" si="8"/>
        <v>0</v>
      </c>
      <c r="H69" s="805">
        <f t="shared" si="8"/>
        <v>0</v>
      </c>
      <c r="I69" s="805">
        <f t="shared" si="8"/>
        <v>0</v>
      </c>
      <c r="J69" s="805">
        <f t="shared" si="8"/>
        <v>0</v>
      </c>
      <c r="K69" s="805">
        <f t="shared" si="8"/>
        <v>3535.7142857142858</v>
      </c>
      <c r="L69" s="805">
        <f t="shared" si="8"/>
        <v>0</v>
      </c>
      <c r="M69" s="931">
        <f t="shared" si="8"/>
        <v>0</v>
      </c>
      <c r="N69" s="806">
        <v>0</v>
      </c>
      <c r="O69" s="806">
        <f>SUM(O67:O68)</f>
        <v>530.37476470588251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659</v>
      </c>
      <c r="O75" s="1140" t="s">
        <v>658</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567</v>
      </c>
      <c r="C77" s="910" t="s">
        <v>657</v>
      </c>
      <c r="D77" s="814" t="s">
        <v>199</v>
      </c>
      <c r="E77" s="790" t="s">
        <v>200</v>
      </c>
      <c r="F77" s="815" t="s">
        <v>201</v>
      </c>
      <c r="G77" s="790" t="s">
        <v>203</v>
      </c>
      <c r="H77" s="816" t="s">
        <v>204</v>
      </c>
      <c r="I77" s="1156"/>
      <c r="J77" s="1156"/>
      <c r="K77" s="1158"/>
      <c r="L77" s="1111"/>
      <c r="M77" s="1160"/>
      <c r="N77" s="1133"/>
      <c r="O77" s="858" t="s">
        <v>660</v>
      </c>
      <c r="P77" s="856" t="s">
        <v>661</v>
      </c>
      <c r="Q77" s="813"/>
      <c r="R77" s="743"/>
    </row>
    <row r="78" spans="1:18" ht="15.75" thickTop="1">
      <c r="A78" s="817" t="s">
        <v>252</v>
      </c>
      <c r="B78" s="818">
        <f>'lokale energieproductie'!B16</f>
        <v>3188.25</v>
      </c>
      <c r="C78" s="818">
        <f>B78*IFERROR(SUM(I78:L78)/SUM(D78:M78),0)</f>
        <v>0</v>
      </c>
      <c r="D78" s="833">
        <f>'lokale energieproductie'!C16</f>
        <v>3750.882352941177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757.67823529411783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3188.25</v>
      </c>
      <c r="C81" s="804">
        <f>SUM(C78:C80)</f>
        <v>0</v>
      </c>
      <c r="D81" s="804">
        <f t="shared" ref="D81:P81" si="9">SUM(D78:D80)</f>
        <v>3750.882352941177</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757.67823529411783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629</v>
      </c>
      <c r="B1" s="975" t="s">
        <v>630</v>
      </c>
      <c r="C1" s="975" t="s">
        <v>632</v>
      </c>
      <c r="D1" s="975" t="s">
        <v>631</v>
      </c>
    </row>
    <row r="2" spans="1:4" s="960" customFormat="1">
      <c r="A2" s="960" t="s">
        <v>681</v>
      </c>
      <c r="B2" s="986">
        <v>42433</v>
      </c>
      <c r="C2" s="960" t="s">
        <v>684</v>
      </c>
      <c r="D2" s="987" t="s">
        <v>679</v>
      </c>
    </row>
    <row r="3" spans="1:4" s="960" customFormat="1">
      <c r="A3" s="960" t="s">
        <v>681</v>
      </c>
      <c r="B3" s="986">
        <v>42425</v>
      </c>
      <c r="C3" s="960" t="s">
        <v>680</v>
      </c>
      <c r="D3" s="987" t="s">
        <v>675</v>
      </c>
    </row>
    <row r="4" spans="1:4" s="960" customFormat="1">
      <c r="A4" s="960" t="s">
        <v>681</v>
      </c>
      <c r="B4" s="986">
        <v>42433</v>
      </c>
      <c r="C4" s="960" t="s">
        <v>682</v>
      </c>
      <c r="D4" s="987" t="s">
        <v>676</v>
      </c>
    </row>
    <row r="5" spans="1:4" s="960" customFormat="1">
      <c r="A5" s="960" t="s">
        <v>681</v>
      </c>
      <c r="B5" s="986">
        <v>42433</v>
      </c>
      <c r="C5" s="960" t="s">
        <v>683</v>
      </c>
      <c r="D5" s="987" t="s">
        <v>677</v>
      </c>
    </row>
    <row r="6" spans="1:4" s="960" customFormat="1">
      <c r="A6" s="960" t="s">
        <v>681</v>
      </c>
      <c r="B6" s="986">
        <v>42433</v>
      </c>
      <c r="C6" s="960" t="s">
        <v>685</v>
      </c>
      <c r="D6" s="987" t="s">
        <v>678</v>
      </c>
    </row>
    <row r="7" spans="1:4" s="960" customFormat="1">
      <c r="A7" s="960" t="s">
        <v>681</v>
      </c>
      <c r="B7" s="986">
        <v>42436</v>
      </c>
      <c r="C7" s="960" t="s">
        <v>692</v>
      </c>
      <c r="D7" s="987" t="s">
        <v>647</v>
      </c>
    </row>
    <row r="8" spans="1:4" s="960" customFormat="1">
      <c r="A8" s="960" t="s">
        <v>681</v>
      </c>
      <c r="B8" s="986">
        <v>42436</v>
      </c>
      <c r="C8" s="960" t="s">
        <v>693</v>
      </c>
      <c r="D8" s="987" t="s">
        <v>648</v>
      </c>
    </row>
    <row r="9" spans="1:4" s="7" customFormat="1">
      <c r="A9" s="960" t="s">
        <v>681</v>
      </c>
      <c r="B9" s="986">
        <v>42436</v>
      </c>
      <c r="C9" s="986" t="s">
        <v>714</v>
      </c>
      <c r="D9" s="987" t="s">
        <v>699</v>
      </c>
    </row>
    <row r="10" spans="1:4" s="7" customFormat="1">
      <c r="A10" s="960" t="s">
        <v>681</v>
      </c>
      <c r="B10" s="986">
        <v>42436</v>
      </c>
      <c r="C10" s="986" t="s">
        <v>700</v>
      </c>
      <c r="D10" s="987" t="s">
        <v>662</v>
      </c>
    </row>
    <row r="11" spans="1:4" s="7" customFormat="1">
      <c r="A11" s="960" t="s">
        <v>681</v>
      </c>
      <c r="B11" s="986">
        <v>42538</v>
      </c>
      <c r="C11" s="986" t="s">
        <v>734</v>
      </c>
      <c r="D11" s="986"/>
    </row>
    <row r="12" spans="1:4" s="7" customFormat="1">
      <c r="A12" s="960" t="s">
        <v>681</v>
      </c>
      <c r="B12" s="986">
        <v>42538</v>
      </c>
      <c r="C12" s="986" t="s">
        <v>736</v>
      </c>
      <c r="D12" s="1002" t="s">
        <v>738</v>
      </c>
    </row>
    <row r="13" spans="1:4" s="7" customFormat="1">
      <c r="A13" s="960" t="s">
        <v>681</v>
      </c>
      <c r="B13" s="986">
        <v>42538</v>
      </c>
      <c r="C13" s="986" t="s">
        <v>737</v>
      </c>
      <c r="D13" s="1003" t="s">
        <v>739</v>
      </c>
    </row>
    <row r="14" spans="1:4" s="7" customFormat="1">
      <c r="A14" s="960" t="s">
        <v>681</v>
      </c>
      <c r="B14" s="986">
        <v>42538</v>
      </c>
      <c r="C14" s="986" t="s">
        <v>735</v>
      </c>
      <c r="D14" s="1002" t="s">
        <v>740</v>
      </c>
    </row>
    <row r="15" spans="1:4" s="7" customFormat="1">
      <c r="A15" s="960" t="s">
        <v>745</v>
      </c>
      <c r="B15" s="986">
        <v>42583</v>
      </c>
      <c r="C15" s="986" t="s">
        <v>746</v>
      </c>
      <c r="D15" s="968"/>
    </row>
    <row r="16" spans="1:4" s="7" customFormat="1">
      <c r="A16" s="960" t="s">
        <v>756</v>
      </c>
      <c r="B16" s="1011">
        <v>42877</v>
      </c>
      <c r="C16" s="959" t="s">
        <v>805</v>
      </c>
      <c r="D16" s="1012" t="s">
        <v>678</v>
      </c>
    </row>
    <row r="17" spans="1:4" s="7" customFormat="1">
      <c r="A17" s="960" t="s">
        <v>756</v>
      </c>
      <c r="B17" s="1011">
        <v>42877</v>
      </c>
      <c r="C17" s="959" t="s">
        <v>806</v>
      </c>
      <c r="D17" s="1012" t="s">
        <v>754</v>
      </c>
    </row>
    <row r="18" spans="1:4" s="7" customFormat="1">
      <c r="A18" s="960" t="s">
        <v>756</v>
      </c>
      <c r="B18" s="1011">
        <v>42877</v>
      </c>
      <c r="C18" s="959" t="s">
        <v>807</v>
      </c>
      <c r="D18" s="1012" t="s">
        <v>755</v>
      </c>
    </row>
    <row r="19" spans="1:4" s="7" customFormat="1">
      <c r="A19" s="960" t="s">
        <v>791</v>
      </c>
      <c r="B19" s="986">
        <v>43167</v>
      </c>
      <c r="C19" s="986" t="s">
        <v>792</v>
      </c>
      <c r="D19" s="1012" t="s">
        <v>793</v>
      </c>
    </row>
    <row r="20" spans="1:4" s="7" customFormat="1">
      <c r="A20" s="960" t="s">
        <v>791</v>
      </c>
      <c r="B20" s="986">
        <v>43167</v>
      </c>
      <c r="C20" s="986" t="s">
        <v>794</v>
      </c>
      <c r="D20" s="1024" t="s">
        <v>795</v>
      </c>
    </row>
    <row r="21" spans="1:4">
      <c r="A21" s="960" t="s">
        <v>791</v>
      </c>
      <c r="B21" s="986">
        <v>43167</v>
      </c>
      <c r="C21" s="986" t="s">
        <v>796</v>
      </c>
      <c r="D21" s="1024" t="s">
        <v>797</v>
      </c>
    </row>
    <row r="22" spans="1:4">
      <c r="A22" s="960" t="s">
        <v>791</v>
      </c>
      <c r="B22" s="986">
        <v>43167</v>
      </c>
      <c r="C22" s="986" t="s">
        <v>798</v>
      </c>
      <c r="D22" s="1024" t="s">
        <v>799</v>
      </c>
    </row>
    <row r="23" spans="1:4">
      <c r="A23" s="960" t="s">
        <v>791</v>
      </c>
      <c r="B23" s="986">
        <v>43278</v>
      </c>
      <c r="C23" s="986" t="s">
        <v>826</v>
      </c>
      <c r="D23" s="1012"/>
    </row>
    <row r="24" spans="1:4">
      <c r="A24" s="960" t="s">
        <v>828</v>
      </c>
      <c r="B24" s="986">
        <v>43425</v>
      </c>
      <c r="C24" s="986" t="s">
        <v>829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562</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131935.17400209361</v>
      </c>
      <c r="C4" s="479">
        <f>huishoudens!C8</f>
        <v>0</v>
      </c>
      <c r="D4" s="479">
        <f>huishoudens!D8</f>
        <v>317957.09534599999</v>
      </c>
      <c r="E4" s="479">
        <f>huishoudens!E8</f>
        <v>8077.6214814373816</v>
      </c>
      <c r="F4" s="479">
        <f>huishoudens!F8</f>
        <v>87841.468464707868</v>
      </c>
      <c r="G4" s="479">
        <f>huishoudens!G8</f>
        <v>0</v>
      </c>
      <c r="H4" s="479">
        <f>huishoudens!H8</f>
        <v>0</v>
      </c>
      <c r="I4" s="479">
        <f>huishoudens!I8</f>
        <v>0</v>
      </c>
      <c r="J4" s="479">
        <f>huishoudens!J8</f>
        <v>0</v>
      </c>
      <c r="K4" s="479">
        <f>huishoudens!K8</f>
        <v>0</v>
      </c>
      <c r="L4" s="479">
        <f>huishoudens!L8</f>
        <v>0</v>
      </c>
      <c r="M4" s="479">
        <f>huishoudens!M8</f>
        <v>0</v>
      </c>
      <c r="N4" s="479">
        <f>huishoudens!N8</f>
        <v>29514.474074388629</v>
      </c>
      <c r="O4" s="479">
        <f>huishoudens!O8</f>
        <v>911.42333333333329</v>
      </c>
      <c r="P4" s="480">
        <f>huishoudens!P8</f>
        <v>2345.1999999999998</v>
      </c>
      <c r="Q4" s="481">
        <f>SUM(B4:P4)</f>
        <v>578582.45670196076</v>
      </c>
    </row>
    <row r="5" spans="1:17">
      <c r="A5" s="478" t="s">
        <v>156</v>
      </c>
      <c r="B5" s="479">
        <f ca="1">tertiair!B16</f>
        <v>198406.30051252278</v>
      </c>
      <c r="C5" s="479">
        <f ca="1">tertiair!C16</f>
        <v>2866.8214285714284</v>
      </c>
      <c r="D5" s="479">
        <f ca="1">tertiair!D16</f>
        <v>188387.53694485713</v>
      </c>
      <c r="E5" s="479">
        <f>tertiair!E16</f>
        <v>1711.8999050893003</v>
      </c>
      <c r="F5" s="479">
        <f ca="1">tertiair!F16</f>
        <v>28141.458509433938</v>
      </c>
      <c r="G5" s="479">
        <f>tertiair!G16</f>
        <v>0</v>
      </c>
      <c r="H5" s="479">
        <f>tertiair!H16</f>
        <v>0</v>
      </c>
      <c r="I5" s="479">
        <f>tertiair!I16</f>
        <v>0</v>
      </c>
      <c r="J5" s="479">
        <f>tertiair!J16</f>
        <v>0</v>
      </c>
      <c r="K5" s="479">
        <f>tertiair!K16</f>
        <v>0</v>
      </c>
      <c r="L5" s="479">
        <f ca="1">tertiair!L16</f>
        <v>0</v>
      </c>
      <c r="M5" s="479">
        <f>tertiair!M16</f>
        <v>0</v>
      </c>
      <c r="N5" s="479">
        <f ca="1">tertiair!N16</f>
        <v>9198.6839059161957</v>
      </c>
      <c r="O5" s="479">
        <f>tertiair!O16</f>
        <v>9.3800000000000008</v>
      </c>
      <c r="P5" s="480">
        <f>tertiair!P16</f>
        <v>152.53333333333333</v>
      </c>
      <c r="Q5" s="478">
        <f t="shared" ref="Q5:Q13" ca="1" si="0">SUM(B5:P5)</f>
        <v>428874.61453972408</v>
      </c>
    </row>
    <row r="6" spans="1:17">
      <c r="A6" s="478" t="s">
        <v>194</v>
      </c>
      <c r="B6" s="479">
        <f>'openbare verlichting'!B8</f>
        <v>5102.21</v>
      </c>
      <c r="C6" s="479"/>
      <c r="D6" s="479"/>
      <c r="E6" s="479"/>
      <c r="F6" s="479"/>
      <c r="G6" s="479"/>
      <c r="H6" s="479"/>
      <c r="I6" s="479"/>
      <c r="J6" s="479"/>
      <c r="K6" s="479"/>
      <c r="L6" s="479"/>
      <c r="M6" s="479"/>
      <c r="N6" s="479"/>
      <c r="O6" s="479"/>
      <c r="P6" s="480"/>
      <c r="Q6" s="478">
        <f t="shared" si="0"/>
        <v>5102.21</v>
      </c>
    </row>
    <row r="7" spans="1:17">
      <c r="A7" s="478" t="s">
        <v>112</v>
      </c>
      <c r="B7" s="479">
        <f>landbouw!B8</f>
        <v>1979.6890000000001</v>
      </c>
      <c r="C7" s="479">
        <f>landbouw!C8</f>
        <v>0</v>
      </c>
      <c r="D7" s="479">
        <f>landbouw!D8</f>
        <v>2458.082594</v>
      </c>
      <c r="E7" s="479">
        <f>landbouw!E8</f>
        <v>18.336708687972099</v>
      </c>
      <c r="F7" s="479">
        <f>landbouw!F8</f>
        <v>5022.848123367482</v>
      </c>
      <c r="G7" s="479">
        <f>landbouw!G8</f>
        <v>0</v>
      </c>
      <c r="H7" s="479">
        <f>landbouw!H8</f>
        <v>0</v>
      </c>
      <c r="I7" s="479">
        <f>landbouw!I8</f>
        <v>0</v>
      </c>
      <c r="J7" s="479">
        <f>landbouw!J8</f>
        <v>303.50841709372173</v>
      </c>
      <c r="K7" s="479">
        <f>landbouw!K8</f>
        <v>0</v>
      </c>
      <c r="L7" s="479">
        <f>landbouw!L8</f>
        <v>0</v>
      </c>
      <c r="M7" s="479">
        <f>landbouw!M8</f>
        <v>0</v>
      </c>
      <c r="N7" s="479">
        <f>landbouw!N8</f>
        <v>0</v>
      </c>
      <c r="O7" s="479">
        <f>landbouw!O8</f>
        <v>0</v>
      </c>
      <c r="P7" s="480">
        <f>landbouw!P8</f>
        <v>0</v>
      </c>
      <c r="Q7" s="478">
        <f t="shared" si="0"/>
        <v>9782.4648431491769</v>
      </c>
    </row>
    <row r="8" spans="1:17">
      <c r="A8" s="478" t="s">
        <v>652</v>
      </c>
      <c r="B8" s="479">
        <f>industrie!B18</f>
        <v>63813.931999999993</v>
      </c>
      <c r="C8" s="479">
        <f>industrie!C18</f>
        <v>321.42857142857144</v>
      </c>
      <c r="D8" s="479">
        <f>industrie!D18</f>
        <v>70353.06495314285</v>
      </c>
      <c r="E8" s="479">
        <f>industrie!E18</f>
        <v>8921.1952156610514</v>
      </c>
      <c r="F8" s="479">
        <f>industrie!F18</f>
        <v>47296.872827876585</v>
      </c>
      <c r="G8" s="479">
        <f>industrie!G18</f>
        <v>0</v>
      </c>
      <c r="H8" s="479">
        <f>industrie!H18</f>
        <v>0</v>
      </c>
      <c r="I8" s="479">
        <f>industrie!I18</f>
        <v>0</v>
      </c>
      <c r="J8" s="479">
        <f>industrie!J18</f>
        <v>280.43164003758278</v>
      </c>
      <c r="K8" s="479">
        <f>industrie!K18</f>
        <v>0</v>
      </c>
      <c r="L8" s="479">
        <f>industrie!L18</f>
        <v>0</v>
      </c>
      <c r="M8" s="479">
        <f>industrie!M18</f>
        <v>0</v>
      </c>
      <c r="N8" s="479">
        <f>industrie!N18</f>
        <v>17753.549347183307</v>
      </c>
      <c r="O8" s="479">
        <f>industrie!O18</f>
        <v>0</v>
      </c>
      <c r="P8" s="480">
        <f>industrie!P18</f>
        <v>0</v>
      </c>
      <c r="Q8" s="478">
        <f t="shared" si="0"/>
        <v>208740.47455532994</v>
      </c>
    </row>
    <row r="9" spans="1:17" s="484" customFormat="1">
      <c r="A9" s="482" t="s">
        <v>573</v>
      </c>
      <c r="B9" s="483">
        <f>transport!B14</f>
        <v>92.149489369526961</v>
      </c>
      <c r="C9" s="483"/>
      <c r="D9" s="483">
        <f>transport!D14</f>
        <v>240.46813188293461</v>
      </c>
      <c r="E9" s="483">
        <f>transport!E14</f>
        <v>1652.4323697951659</v>
      </c>
      <c r="F9" s="483"/>
      <c r="G9" s="483">
        <f>transport!G14</f>
        <v>450470.5959656518</v>
      </c>
      <c r="H9" s="483">
        <f>transport!H14</f>
        <v>92173.538566376912</v>
      </c>
      <c r="I9" s="483"/>
      <c r="J9" s="483"/>
      <c r="K9" s="483"/>
      <c r="L9" s="483"/>
      <c r="M9" s="483">
        <f>transport!M14</f>
        <v>28895.128811539398</v>
      </c>
      <c r="N9" s="483"/>
      <c r="O9" s="483"/>
      <c r="P9" s="483"/>
      <c r="Q9" s="482">
        <f>SUM(B9:P9)</f>
        <v>573524.31333461578</v>
      </c>
    </row>
    <row r="10" spans="1:17">
      <c r="A10" s="478" t="s">
        <v>563</v>
      </c>
      <c r="B10" s="479">
        <f>transport!B54</f>
        <v>0</v>
      </c>
      <c r="C10" s="479"/>
      <c r="D10" s="479">
        <f>transport!D54</f>
        <v>0</v>
      </c>
      <c r="E10" s="479"/>
      <c r="F10" s="479"/>
      <c r="G10" s="479">
        <f>transport!G54</f>
        <v>17145.62737915634</v>
      </c>
      <c r="H10" s="479"/>
      <c r="I10" s="479"/>
      <c r="J10" s="479"/>
      <c r="K10" s="479"/>
      <c r="L10" s="479"/>
      <c r="M10" s="479">
        <f>transport!M54</f>
        <v>977.76514722944967</v>
      </c>
      <c r="N10" s="479"/>
      <c r="O10" s="479"/>
      <c r="P10" s="480"/>
      <c r="Q10" s="478">
        <f t="shared" si="0"/>
        <v>18123.392526385789</v>
      </c>
    </row>
    <row r="11" spans="1:17">
      <c r="A11" s="478" t="s">
        <v>564</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565</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566</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567</v>
      </c>
      <c r="B14" s="489">
        <f ca="1">SUM(B4:B13)</f>
        <v>401329.45500398596</v>
      </c>
      <c r="C14" s="489">
        <f t="shared" ref="C14:Q14" ca="1" si="1">SUM(C4:C13)</f>
        <v>3188.25</v>
      </c>
      <c r="D14" s="489">
        <f t="shared" ca="1" si="1"/>
        <v>579396.24796988291</v>
      </c>
      <c r="E14" s="489">
        <f t="shared" si="1"/>
        <v>20381.48568067087</v>
      </c>
      <c r="F14" s="489">
        <f t="shared" ca="1" si="1"/>
        <v>168302.64792538589</v>
      </c>
      <c r="G14" s="489">
        <f t="shared" si="1"/>
        <v>467616.22334480815</v>
      </c>
      <c r="H14" s="489">
        <f t="shared" si="1"/>
        <v>92173.538566376912</v>
      </c>
      <c r="I14" s="489">
        <f t="shared" si="1"/>
        <v>0</v>
      </c>
      <c r="J14" s="489">
        <f t="shared" si="1"/>
        <v>583.94005713130446</v>
      </c>
      <c r="K14" s="489">
        <f t="shared" si="1"/>
        <v>0</v>
      </c>
      <c r="L14" s="489">
        <f t="shared" ca="1" si="1"/>
        <v>0</v>
      </c>
      <c r="M14" s="489">
        <f t="shared" si="1"/>
        <v>29872.893958768847</v>
      </c>
      <c r="N14" s="489">
        <f t="shared" ca="1" si="1"/>
        <v>56466.707327488126</v>
      </c>
      <c r="O14" s="489">
        <f t="shared" si="1"/>
        <v>920.80333333333328</v>
      </c>
      <c r="P14" s="490">
        <f t="shared" si="1"/>
        <v>2497.7333333333331</v>
      </c>
      <c r="Q14" s="490">
        <f t="shared" ca="1" si="1"/>
        <v>1822729.9265011656</v>
      </c>
    </row>
    <row r="16" spans="1:17">
      <c r="A16" s="492" t="s">
        <v>568</v>
      </c>
      <c r="B16" s="842">
        <f ca="1">huishoudens!B10</f>
        <v>0.19900991968507181</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570</v>
      </c>
      <c r="B18" s="1162" t="s">
        <v>569</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26256.408381792626</v>
      </c>
      <c r="C21" s="479">
        <f t="shared" ref="C21:C28" ca="1" si="3">C4*$C$16</f>
        <v>0</v>
      </c>
      <c r="D21" s="479">
        <f t="shared" ref="D21:D30" si="4">D4*$D$16</f>
        <v>64227.333259892002</v>
      </c>
      <c r="E21" s="479">
        <f t="shared" ref="E21:E30" si="5">E4*$E$16</f>
        <v>1833.6200762862857</v>
      </c>
      <c r="F21" s="479">
        <f t="shared" ref="F21:F28" si="6">F4*$F$16</f>
        <v>23453.672080077002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115771.03379804791</v>
      </c>
    </row>
    <row r="22" spans="1:17">
      <c r="A22" s="478" t="s">
        <v>156</v>
      </c>
      <c r="B22" s="479">
        <f t="shared" ca="1" si="2"/>
        <v>39484.821930009384</v>
      </c>
      <c r="C22" s="479">
        <f t="shared" ca="1" si="3"/>
        <v>681.29168067226897</v>
      </c>
      <c r="D22" s="479">
        <f t="shared" ca="1" si="4"/>
        <v>38054.282462861142</v>
      </c>
      <c r="E22" s="479">
        <f t="shared" si="5"/>
        <v>388.6012784552712</v>
      </c>
      <c r="F22" s="479">
        <f t="shared" ca="1" si="6"/>
        <v>7513.7694220188623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86122.766774016927</v>
      </c>
    </row>
    <row r="23" spans="1:17">
      <c r="A23" s="478" t="s">
        <v>194</v>
      </c>
      <c r="B23" s="479">
        <f t="shared" ca="1" si="2"/>
        <v>1015.3904023163702</v>
      </c>
      <c r="C23" s="479"/>
      <c r="D23" s="479"/>
      <c r="E23" s="479"/>
      <c r="F23" s="479"/>
      <c r="G23" s="479"/>
      <c r="H23" s="479"/>
      <c r="I23" s="479"/>
      <c r="J23" s="479"/>
      <c r="K23" s="479"/>
      <c r="L23" s="479"/>
      <c r="M23" s="479"/>
      <c r="N23" s="479"/>
      <c r="O23" s="479"/>
      <c r="P23" s="480"/>
      <c r="Q23" s="478">
        <f t="shared" ca="1" si="17"/>
        <v>1015.3904023163702</v>
      </c>
    </row>
    <row r="24" spans="1:17">
      <c r="A24" s="478" t="s">
        <v>112</v>
      </c>
      <c r="B24" s="479">
        <f t="shared" ca="1" si="2"/>
        <v>393.97774889142016</v>
      </c>
      <c r="C24" s="479">
        <f t="shared" ca="1" si="3"/>
        <v>0</v>
      </c>
      <c r="D24" s="479">
        <f t="shared" si="4"/>
        <v>496.53268398800003</v>
      </c>
      <c r="E24" s="479">
        <f t="shared" si="5"/>
        <v>4.1624328721696662</v>
      </c>
      <c r="F24" s="479">
        <f t="shared" si="6"/>
        <v>1341.1004489391178</v>
      </c>
      <c r="G24" s="479">
        <f t="shared" si="7"/>
        <v>0</v>
      </c>
      <c r="H24" s="479">
        <f t="shared" si="8"/>
        <v>0</v>
      </c>
      <c r="I24" s="479">
        <f t="shared" si="9"/>
        <v>0</v>
      </c>
      <c r="J24" s="479">
        <f t="shared" si="10"/>
        <v>107.44197965117749</v>
      </c>
      <c r="K24" s="479">
        <f t="shared" si="11"/>
        <v>0</v>
      </c>
      <c r="L24" s="479">
        <f t="shared" si="12"/>
        <v>0</v>
      </c>
      <c r="M24" s="479">
        <f t="shared" si="13"/>
        <v>0</v>
      </c>
      <c r="N24" s="479">
        <f t="shared" si="14"/>
        <v>0</v>
      </c>
      <c r="O24" s="479">
        <f t="shared" si="15"/>
        <v>0</v>
      </c>
      <c r="P24" s="480">
        <f t="shared" si="16"/>
        <v>0</v>
      </c>
      <c r="Q24" s="478">
        <f t="shared" ca="1" si="17"/>
        <v>2343.2152943418851</v>
      </c>
    </row>
    <row r="25" spans="1:17">
      <c r="A25" s="478" t="s">
        <v>652</v>
      </c>
      <c r="B25" s="479">
        <f t="shared" ca="1" si="2"/>
        <v>12699.605482108633</v>
      </c>
      <c r="C25" s="479">
        <f t="shared" ca="1" si="3"/>
        <v>76.386554621848759</v>
      </c>
      <c r="D25" s="479">
        <f t="shared" si="4"/>
        <v>14211.319120534856</v>
      </c>
      <c r="E25" s="479">
        <f t="shared" si="5"/>
        <v>2025.1113139550587</v>
      </c>
      <c r="F25" s="479">
        <f t="shared" si="6"/>
        <v>12628.265045043048</v>
      </c>
      <c r="G25" s="479">
        <f t="shared" si="7"/>
        <v>0</v>
      </c>
      <c r="H25" s="479">
        <f t="shared" si="8"/>
        <v>0</v>
      </c>
      <c r="I25" s="479">
        <f t="shared" si="9"/>
        <v>0</v>
      </c>
      <c r="J25" s="479">
        <f t="shared" si="10"/>
        <v>99.272800573304295</v>
      </c>
      <c r="K25" s="479">
        <f t="shared" si="11"/>
        <v>0</v>
      </c>
      <c r="L25" s="479">
        <f t="shared" si="12"/>
        <v>0</v>
      </c>
      <c r="M25" s="479">
        <f t="shared" si="13"/>
        <v>0</v>
      </c>
      <c r="N25" s="479">
        <f t="shared" si="14"/>
        <v>0</v>
      </c>
      <c r="O25" s="479">
        <f t="shared" si="15"/>
        <v>0</v>
      </c>
      <c r="P25" s="480">
        <f t="shared" si="16"/>
        <v>0</v>
      </c>
      <c r="Q25" s="478">
        <f t="shared" ca="1" si="17"/>
        <v>41739.960316836747</v>
      </c>
    </row>
    <row r="26" spans="1:17" s="484" customFormat="1">
      <c r="A26" s="482" t="s">
        <v>573</v>
      </c>
      <c r="B26" s="836">
        <f t="shared" ca="1" si="2"/>
        <v>18.33866247844994</v>
      </c>
      <c r="C26" s="483"/>
      <c r="D26" s="483">
        <f t="shared" si="4"/>
        <v>48.574562640352795</v>
      </c>
      <c r="E26" s="483">
        <f t="shared" si="5"/>
        <v>375.10214794350264</v>
      </c>
      <c r="F26" s="483"/>
      <c r="G26" s="483">
        <f t="shared" si="7"/>
        <v>120275.64912282904</v>
      </c>
      <c r="H26" s="483">
        <f t="shared" si="8"/>
        <v>22951.21110302785</v>
      </c>
      <c r="I26" s="483"/>
      <c r="J26" s="483"/>
      <c r="K26" s="483"/>
      <c r="L26" s="483"/>
      <c r="M26" s="483">
        <f t="shared" si="13"/>
        <v>0</v>
      </c>
      <c r="N26" s="483"/>
      <c r="O26" s="483"/>
      <c r="P26" s="494"/>
      <c r="Q26" s="482">
        <f t="shared" ca="1" si="17"/>
        <v>143668.8755989192</v>
      </c>
    </row>
    <row r="27" spans="1:17">
      <c r="A27" s="478" t="s">
        <v>563</v>
      </c>
      <c r="B27" s="479">
        <f t="shared" ca="1" si="2"/>
        <v>0</v>
      </c>
      <c r="C27" s="479"/>
      <c r="D27" s="483">
        <f t="shared" si="4"/>
        <v>0</v>
      </c>
      <c r="E27" s="479"/>
      <c r="F27" s="479"/>
      <c r="G27" s="479">
        <f t="shared" si="7"/>
        <v>4577.8825102347428</v>
      </c>
      <c r="H27" s="479"/>
      <c r="I27" s="479"/>
      <c r="J27" s="479"/>
      <c r="K27" s="479"/>
      <c r="L27" s="479"/>
      <c r="M27" s="479">
        <f t="shared" si="13"/>
        <v>0</v>
      </c>
      <c r="N27" s="479"/>
      <c r="O27" s="479"/>
      <c r="P27" s="480"/>
      <c r="Q27" s="478">
        <f t="shared" ca="1" si="17"/>
        <v>4577.8825102347428</v>
      </c>
    </row>
    <row r="28" spans="1:17">
      <c r="A28" s="478" t="s">
        <v>564</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565</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566</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567</v>
      </c>
      <c r="B31" s="489">
        <f t="shared" ref="B31:Q31" ca="1" si="18">SUM(B21:B30)</f>
        <v>79868.542607596872</v>
      </c>
      <c r="C31" s="489">
        <f t="shared" ca="1" si="18"/>
        <v>757.67823529411771</v>
      </c>
      <c r="D31" s="489">
        <f t="shared" ca="1" si="18"/>
        <v>117038.04208991634</v>
      </c>
      <c r="E31" s="489">
        <f t="shared" si="18"/>
        <v>4626.5972495122878</v>
      </c>
      <c r="F31" s="489">
        <f t="shared" ca="1" si="18"/>
        <v>44936.806996078027</v>
      </c>
      <c r="G31" s="489">
        <f t="shared" si="18"/>
        <v>124853.53163306379</v>
      </c>
      <c r="H31" s="489">
        <f t="shared" si="18"/>
        <v>22951.21110302785</v>
      </c>
      <c r="I31" s="489">
        <f t="shared" si="18"/>
        <v>0</v>
      </c>
      <c r="J31" s="489">
        <f t="shared" si="18"/>
        <v>206.71478022448179</v>
      </c>
      <c r="K31" s="489">
        <f t="shared" si="18"/>
        <v>0</v>
      </c>
      <c r="L31" s="489">
        <f t="shared" ca="1" si="18"/>
        <v>0</v>
      </c>
      <c r="M31" s="489">
        <f t="shared" si="18"/>
        <v>0</v>
      </c>
      <c r="N31" s="489">
        <f t="shared" ca="1" si="18"/>
        <v>0</v>
      </c>
      <c r="O31" s="489">
        <f t="shared" si="18"/>
        <v>0</v>
      </c>
      <c r="P31" s="490">
        <f t="shared" si="18"/>
        <v>0</v>
      </c>
      <c r="Q31" s="490">
        <f t="shared" ca="1" si="18"/>
        <v>395239.12469471374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562</v>
      </c>
      <c r="B1" s="1171" t="s">
        <v>830</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831</v>
      </c>
      <c r="C4" s="1032" t="s">
        <v>832</v>
      </c>
      <c r="D4" s="1033" t="s">
        <v>833</v>
      </c>
      <c r="E4" s="1034" t="s">
        <v>834</v>
      </c>
      <c r="F4" s="1034" t="s">
        <v>835</v>
      </c>
      <c r="G4" s="1035" t="s">
        <v>838</v>
      </c>
      <c r="H4" s="1035" t="s">
        <v>838</v>
      </c>
      <c r="I4" s="1035" t="s">
        <v>838</v>
      </c>
      <c r="J4" s="1034" t="s">
        <v>837</v>
      </c>
      <c r="K4" s="1035" t="s">
        <v>838</v>
      </c>
      <c r="L4" s="1035" t="s">
        <v>838</v>
      </c>
      <c r="M4" s="1035" t="s">
        <v>838</v>
      </c>
      <c r="N4" s="1034" t="s">
        <v>839</v>
      </c>
      <c r="O4" s="1036" t="s">
        <v>840</v>
      </c>
      <c r="P4" s="1037" t="s">
        <v>841</v>
      </c>
      <c r="Q4" s="1038"/>
    </row>
    <row r="5" spans="1:17" ht="124.35" customHeight="1">
      <c r="A5" s="1039" t="s">
        <v>156</v>
      </c>
      <c r="B5" s="1040" t="s">
        <v>842</v>
      </c>
      <c r="C5" s="1041" t="s">
        <v>843</v>
      </c>
      <c r="D5" s="1041" t="s">
        <v>844</v>
      </c>
      <c r="E5" s="1042" t="s">
        <v>845</v>
      </c>
      <c r="F5" s="1042" t="s">
        <v>846</v>
      </c>
      <c r="G5" s="1043" t="s">
        <v>838</v>
      </c>
      <c r="H5" s="1043" t="s">
        <v>838</v>
      </c>
      <c r="I5" s="1043" t="s">
        <v>838</v>
      </c>
      <c r="J5" s="1042" t="s">
        <v>847</v>
      </c>
      <c r="K5" s="1040" t="s">
        <v>848</v>
      </c>
      <c r="L5" s="1043" t="s">
        <v>838</v>
      </c>
      <c r="M5" s="1043" t="s">
        <v>838</v>
      </c>
      <c r="N5" s="1042" t="s">
        <v>849</v>
      </c>
      <c r="O5" s="1044" t="s">
        <v>840</v>
      </c>
      <c r="P5" s="1045" t="s">
        <v>841</v>
      </c>
      <c r="Q5" s="1046"/>
    </row>
    <row r="6" spans="1:17" ht="124.35" customHeight="1">
      <c r="A6" s="1039" t="s">
        <v>194</v>
      </c>
      <c r="B6" s="1047" t="s">
        <v>850</v>
      </c>
      <c r="C6" s="1048" t="s">
        <v>836</v>
      </c>
      <c r="D6" s="1043" t="s">
        <v>836</v>
      </c>
      <c r="E6" s="1043" t="s">
        <v>836</v>
      </c>
      <c r="F6" s="1043" t="s">
        <v>836</v>
      </c>
      <c r="G6" s="1043" t="s">
        <v>836</v>
      </c>
      <c r="H6" s="1043" t="s">
        <v>836</v>
      </c>
      <c r="I6" s="1043" t="s">
        <v>836</v>
      </c>
      <c r="J6" s="1043" t="s">
        <v>836</v>
      </c>
      <c r="K6" s="1043" t="s">
        <v>836</v>
      </c>
      <c r="L6" s="1043" t="s">
        <v>836</v>
      </c>
      <c r="M6" s="1043" t="s">
        <v>836</v>
      </c>
      <c r="N6" s="1043" t="s">
        <v>836</v>
      </c>
      <c r="O6" s="1049" t="s">
        <v>836</v>
      </c>
      <c r="P6" s="1050" t="s">
        <v>836</v>
      </c>
      <c r="Q6" s="1051"/>
    </row>
    <row r="7" spans="1:17" ht="124.35" customHeight="1">
      <c r="A7" s="1039" t="s">
        <v>112</v>
      </c>
      <c r="B7" s="1047" t="s">
        <v>850</v>
      </c>
      <c r="C7" s="1041" t="s">
        <v>843</v>
      </c>
      <c r="D7" s="1041" t="s">
        <v>844</v>
      </c>
      <c r="E7" s="1042" t="s">
        <v>845</v>
      </c>
      <c r="F7" s="1042" t="s">
        <v>846</v>
      </c>
      <c r="G7" s="1043" t="s">
        <v>838</v>
      </c>
      <c r="H7" s="1043" t="s">
        <v>838</v>
      </c>
      <c r="I7" s="1043" t="s">
        <v>838</v>
      </c>
      <c r="J7" s="1042" t="s">
        <v>847</v>
      </c>
      <c r="K7" s="1043" t="s">
        <v>838</v>
      </c>
      <c r="L7" s="1043" t="s">
        <v>838</v>
      </c>
      <c r="M7" s="1043" t="s">
        <v>838</v>
      </c>
      <c r="N7" s="1052" t="s">
        <v>838</v>
      </c>
      <c r="O7" s="1048" t="s">
        <v>838</v>
      </c>
      <c r="P7" s="1053" t="s">
        <v>838</v>
      </c>
      <c r="Q7" s="1046"/>
    </row>
    <row r="8" spans="1:17" ht="124.35" customHeight="1">
      <c r="A8" s="1039" t="s">
        <v>652</v>
      </c>
      <c r="B8" s="1040" t="s">
        <v>851</v>
      </c>
      <c r="C8" s="1041" t="s">
        <v>843</v>
      </c>
      <c r="D8" s="1041" t="s">
        <v>844</v>
      </c>
      <c r="E8" s="1042" t="s">
        <v>845</v>
      </c>
      <c r="F8" s="1042" t="s">
        <v>846</v>
      </c>
      <c r="G8" s="1043" t="s">
        <v>838</v>
      </c>
      <c r="H8" s="1043" t="s">
        <v>838</v>
      </c>
      <c r="I8" s="1043" t="s">
        <v>838</v>
      </c>
      <c r="J8" s="1042" t="s">
        <v>847</v>
      </c>
      <c r="K8" s="1040" t="s">
        <v>848</v>
      </c>
      <c r="L8" s="1043" t="s">
        <v>838</v>
      </c>
      <c r="M8" s="1043" t="s">
        <v>838</v>
      </c>
      <c r="N8" s="1042" t="s">
        <v>849</v>
      </c>
      <c r="O8" s="1044" t="s">
        <v>840</v>
      </c>
      <c r="P8" s="1045" t="s">
        <v>841</v>
      </c>
      <c r="Q8" s="1046"/>
    </row>
    <row r="9" spans="1:17" s="484" customFormat="1" ht="124.35" customHeight="1">
      <c r="A9" s="1054" t="s">
        <v>573</v>
      </c>
      <c r="B9" s="1042" t="s">
        <v>852</v>
      </c>
      <c r="C9" s="1049" t="s">
        <v>836</v>
      </c>
      <c r="D9" s="1042" t="s">
        <v>853</v>
      </c>
      <c r="E9" s="1042" t="s">
        <v>854</v>
      </c>
      <c r="F9" s="1043" t="s">
        <v>836</v>
      </c>
      <c r="G9" s="1042" t="s">
        <v>855</v>
      </c>
      <c r="H9" s="1042" t="s">
        <v>856</v>
      </c>
      <c r="I9" s="1043" t="s">
        <v>836</v>
      </c>
      <c r="J9" s="1043" t="s">
        <v>836</v>
      </c>
      <c r="K9" s="1043" t="s">
        <v>836</v>
      </c>
      <c r="L9" s="1043" t="s">
        <v>836</v>
      </c>
      <c r="M9" s="1042" t="s">
        <v>852</v>
      </c>
      <c r="N9" s="1043" t="s">
        <v>836</v>
      </c>
      <c r="O9" s="1043" t="s">
        <v>836</v>
      </c>
      <c r="P9" s="1055" t="s">
        <v>836</v>
      </c>
      <c r="Q9" s="1056"/>
    </row>
    <row r="10" spans="1:17" ht="124.35" customHeight="1">
      <c r="A10" s="1039" t="s">
        <v>563</v>
      </c>
      <c r="B10" s="1040" t="s">
        <v>864</v>
      </c>
      <c r="C10" s="1049" t="s">
        <v>836</v>
      </c>
      <c r="D10" s="1049" t="s">
        <v>836</v>
      </c>
      <c r="E10" s="1049" t="s">
        <v>836</v>
      </c>
      <c r="F10" s="1043" t="s">
        <v>836</v>
      </c>
      <c r="G10" s="1040" t="s">
        <v>857</v>
      </c>
      <c r="H10" s="1043" t="s">
        <v>836</v>
      </c>
      <c r="I10" s="1043" t="s">
        <v>836</v>
      </c>
      <c r="J10" s="1043" t="s">
        <v>836</v>
      </c>
      <c r="K10" s="1043" t="s">
        <v>836</v>
      </c>
      <c r="L10" s="1043" t="s">
        <v>836</v>
      </c>
      <c r="M10" s="1040" t="s">
        <v>858</v>
      </c>
      <c r="N10" s="1043" t="s">
        <v>836</v>
      </c>
      <c r="O10" s="1043" t="s">
        <v>836</v>
      </c>
      <c r="P10" s="1055" t="s">
        <v>836</v>
      </c>
      <c r="Q10" s="1046"/>
    </row>
    <row r="11" spans="1:17" ht="21">
      <c r="A11" s="1039" t="s">
        <v>564</v>
      </c>
      <c r="B11" s="1057" t="s">
        <v>859</v>
      </c>
      <c r="C11" s="1057" t="s">
        <v>859</v>
      </c>
      <c r="D11" s="1057" t="s">
        <v>859</v>
      </c>
      <c r="E11" s="1057" t="s">
        <v>859</v>
      </c>
      <c r="F11" s="1057" t="s">
        <v>859</v>
      </c>
      <c r="G11" s="1057" t="s">
        <v>859</v>
      </c>
      <c r="H11" s="1057" t="s">
        <v>859</v>
      </c>
      <c r="I11" s="1057" t="s">
        <v>859</v>
      </c>
      <c r="J11" s="1057" t="s">
        <v>859</v>
      </c>
      <c r="K11" s="1057" t="s">
        <v>859</v>
      </c>
      <c r="L11" s="1057" t="s">
        <v>859</v>
      </c>
      <c r="M11" s="1057" t="s">
        <v>859</v>
      </c>
      <c r="N11" s="1057" t="s">
        <v>859</v>
      </c>
      <c r="O11" s="1057" t="s">
        <v>859</v>
      </c>
      <c r="P11" s="1075" t="s">
        <v>859</v>
      </c>
      <c r="Q11" s="1076"/>
    </row>
    <row r="12" spans="1:17" ht="21">
      <c r="A12" s="1039" t="s">
        <v>565</v>
      </c>
      <c r="B12" s="1057" t="s">
        <v>859</v>
      </c>
      <c r="C12" s="1057" t="s">
        <v>836</v>
      </c>
      <c r="D12" s="1057" t="s">
        <v>836</v>
      </c>
      <c r="E12" s="1057" t="s">
        <v>836</v>
      </c>
      <c r="F12" s="1057" t="s">
        <v>836</v>
      </c>
      <c r="G12" s="1057" t="s">
        <v>836</v>
      </c>
      <c r="H12" s="1057" t="s">
        <v>836</v>
      </c>
      <c r="I12" s="1057" t="s">
        <v>836</v>
      </c>
      <c r="J12" s="1057" t="s">
        <v>836</v>
      </c>
      <c r="K12" s="1057" t="s">
        <v>836</v>
      </c>
      <c r="L12" s="1057" t="s">
        <v>836</v>
      </c>
      <c r="M12" s="1057" t="s">
        <v>836</v>
      </c>
      <c r="N12" s="1057" t="s">
        <v>836</v>
      </c>
      <c r="O12" s="1057" t="s">
        <v>836</v>
      </c>
      <c r="P12" s="1058" t="s">
        <v>836</v>
      </c>
      <c r="Q12" s="480"/>
    </row>
    <row r="13" spans="1:17" ht="21">
      <c r="A13" s="1059" t="s">
        <v>566</v>
      </c>
      <c r="B13" s="1060" t="s">
        <v>859</v>
      </c>
      <c r="C13" s="479" t="s">
        <v>836</v>
      </c>
      <c r="D13" s="486" t="s">
        <v>859</v>
      </c>
      <c r="E13" s="486" t="s">
        <v>859</v>
      </c>
      <c r="F13" s="486" t="s">
        <v>836</v>
      </c>
      <c r="G13" s="486" t="s">
        <v>859</v>
      </c>
      <c r="H13" s="486" t="s">
        <v>859</v>
      </c>
      <c r="I13" s="486" t="s">
        <v>836</v>
      </c>
      <c r="J13" s="486" t="s">
        <v>836</v>
      </c>
      <c r="K13" s="486" t="s">
        <v>836</v>
      </c>
      <c r="L13" s="486" t="s">
        <v>836</v>
      </c>
      <c r="M13" s="1061" t="s">
        <v>859</v>
      </c>
      <c r="N13" s="486" t="s">
        <v>836</v>
      </c>
      <c r="O13" s="486" t="s">
        <v>836</v>
      </c>
      <c r="P13" s="486" t="s">
        <v>836</v>
      </c>
      <c r="Q13" s="485"/>
    </row>
    <row r="14" spans="1:17" s="491" customFormat="1" ht="21">
      <c r="A14" s="1062" t="s">
        <v>567</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860</v>
      </c>
      <c r="B17" s="1072" t="s">
        <v>861</v>
      </c>
      <c r="C17" s="1073" t="s">
        <v>862</v>
      </c>
      <c r="D17" s="1074" t="s">
        <v>863</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61" t="s">
        <v>574</v>
      </c>
    </row>
    <row r="7" spans="1:3">
      <c r="A7" s="125"/>
      <c r="B7" s="129"/>
      <c r="C7" s="122"/>
    </row>
    <row r="8" spans="1:3">
      <c r="A8" s="113" t="s">
        <v>593</v>
      </c>
      <c r="B8" s="75" t="s">
        <v>592</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627</v>
      </c>
    </row>
    <row r="13" spans="1:3">
      <c r="A13" s="140"/>
      <c r="B13" s="124"/>
      <c r="C13" s="302"/>
    </row>
    <row r="14" spans="1:3" s="11" customFormat="1">
      <c r="A14" s="113" t="s">
        <v>610</v>
      </c>
      <c r="B14" s="130" t="s">
        <v>611</v>
      </c>
      <c r="C14" s="131" t="s">
        <v>612</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622</v>
      </c>
      <c r="B4" s="495"/>
      <c r="C4" s="495"/>
      <c r="D4" s="495"/>
      <c r="E4" s="495"/>
      <c r="F4" s="495"/>
      <c r="G4" s="527"/>
      <c r="H4" s="527"/>
      <c r="I4" s="495"/>
      <c r="J4" s="495"/>
      <c r="K4" s="495"/>
      <c r="L4" s="495"/>
      <c r="M4" s="495"/>
      <c r="N4" s="495"/>
      <c r="O4" s="495"/>
      <c r="P4" s="495"/>
    </row>
    <row r="5" spans="1:16" outlineLevel="1">
      <c r="A5" s="714" t="s">
        <v>623</v>
      </c>
      <c r="B5" s="495"/>
      <c r="C5" s="495"/>
      <c r="D5" s="495"/>
      <c r="E5" s="495"/>
      <c r="F5" s="495"/>
      <c r="G5" s="527"/>
      <c r="H5" s="527"/>
      <c r="I5" s="495"/>
      <c r="J5" s="495"/>
      <c r="K5" s="495"/>
      <c r="L5" s="495"/>
      <c r="M5" s="495"/>
      <c r="N5" s="495"/>
      <c r="O5" s="495"/>
      <c r="P5" s="495"/>
    </row>
    <row r="6" spans="1:16" outlineLevel="1">
      <c r="A6" s="714" t="s">
        <v>624</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625</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626</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588</v>
      </c>
      <c r="B13" s="479"/>
      <c r="C13" s="499"/>
      <c r="D13" s="499"/>
      <c r="E13" s="499"/>
      <c r="F13" s="499"/>
      <c r="G13" s="499"/>
      <c r="H13" s="499"/>
      <c r="I13" s="499"/>
      <c r="J13" s="499"/>
      <c r="K13" s="499"/>
      <c r="L13" s="499"/>
      <c r="M13" s="499"/>
      <c r="N13" s="499"/>
      <c r="O13" s="843" t="s">
        <v>646</v>
      </c>
      <c r="P13" s="843" t="s">
        <v>645</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615</v>
      </c>
      <c r="B17" s="529">
        <f ca="1">'EF ele_warmte'!B12</f>
        <v>0.19900991968507181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670</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634</v>
      </c>
      <c r="B27" s="850">
        <f>B24*B25*B26</f>
        <v>0</v>
      </c>
      <c r="C27" s="520" t="s">
        <v>635</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670</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634</v>
      </c>
      <c r="B35" s="849">
        <f>B31*B32*B33/1000-B31*B32*B33/1000/B34</f>
        <v>0</v>
      </c>
      <c r="C35" s="526" t="s">
        <v>635</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588</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615</v>
      </c>
      <c r="B17" s="529">
        <f ca="1">'EF ele_warmte'!B12</f>
        <v>0.19900991968507181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588</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606</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615</v>
      </c>
      <c r="B29" s="530">
        <f ca="1">'EF ele_warmte'!B12</f>
        <v>0.19900991968507181</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2019-01-01T21:34:16Z</dcterms:modified>
</cp:coreProperties>
</file>