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P15" s="1"/>
  <c r="P23" s="1"/>
  <c r="P55" s="1"/>
  <c r="Q15"/>
  <c r="Q23" s="1"/>
  <c r="I7" i="18"/>
  <c r="J67" i="14" s="1"/>
  <c r="G14" i="22"/>
  <c r="F22" i="14"/>
  <c r="E12" i="17"/>
  <c r="F48" i="14" s="1"/>
  <c r="P41"/>
  <c r="P53" s="1"/>
  <c r="O8" i="48"/>
  <c r="O25" s="1"/>
  <c r="D8"/>
  <c r="D25" s="1"/>
  <c r="J16" i="15"/>
  <c r="J5" i="48" s="1"/>
  <c r="J22" s="1"/>
  <c r="E16" i="15"/>
  <c r="F10"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D31" i="48" l="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10" i="17" l="1"/>
  <c r="C12" s="1"/>
  <c r="D48" i="14" s="1"/>
  <c r="C56" i="22"/>
  <c r="C58" s="1"/>
  <c r="D44" i="14" s="1"/>
  <c r="D46" s="1"/>
  <c r="C17" i="19"/>
  <c r="C19" s="1"/>
  <c r="D35" i="14" s="1"/>
  <c r="C20" i="16"/>
  <c r="C22" s="1"/>
  <c r="D39" i="14" s="1"/>
  <c r="C18" i="15"/>
  <c r="C20" s="1"/>
  <c r="D36" i="14" s="1"/>
  <c r="C17" i="49"/>
  <c r="C10" i="13"/>
  <c r="C16" i="48" s="1"/>
  <c r="C24" s="1"/>
  <c r="C16" i="22"/>
  <c r="C29" i="20"/>
  <c r="N22" i="16"/>
  <c r="O39" i="14" s="1"/>
  <c r="O41" s="1"/>
  <c r="O53" s="1"/>
  <c r="N25" i="48"/>
  <c r="N31" s="1"/>
  <c r="N14"/>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8" i="4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<sst xmlns="http://schemas.openxmlformats.org/spreadsheetml/2006/main" count="2146" uniqueCount="877">
  <si>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</si>
  <si>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</si>
  <si>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</si>
  <si>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</si>
  <si>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</si>
  <si>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</si>
  <si>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</si>
  <si>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</si>
  <si>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</si>
  <si>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</si>
  <si>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</si>
  <si>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</si>
  <si>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</si>
  <si>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</si>
  <si>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</si>
  <si>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</si>
  <si>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</si>
  <si>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</si>
  <si>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</si>
  <si>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</si>
  <si>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</si>
  <si>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</si>
  <si>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</si>
  <si>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</si>
  <si>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</si>
  <si>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</si>
  <si>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</si>
  <si>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</si>
  <si>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</si>
  <si>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</si>
  <si>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</si>
  <si>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</si>
  <si>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</si>
  <si>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</si>
  <si>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</si>
  <si>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</si>
  <si>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</si>
  <si>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</si>
  <si>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</si>
  <si>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</si>
  <si>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</si>
  <si>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</si>
  <si>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</si>
  <si>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</si>
  <si>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</si>
  <si>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</si>
  <si>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</si>
  <si>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</si>
  <si>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</si>
  <si>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</si>
  <si>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</si>
  <si>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</si>
  <si>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</si>
  <si>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</si>
  <si>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</si>
  <si>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</si>
  <si>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</si>
  <si>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</si>
  <si>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</si>
  <si>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</si>
  <si>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</si>
  <si>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</si>
  <si>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</si>
  <si>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</si>
  <si>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</si>
  <si>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</si>
  <si>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</si>
  <si>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</si>
  <si>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</si>
  <si>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</si>
  <si>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</si>
  <si>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</si>
  <si>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</si>
  <si>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</si>
  <si>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</si>
  <si>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</si>
  <si>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</si>
  <si>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</si>
  <si>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</si>
  <si>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</si>
  <si>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</si>
  <si>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</si>
  <si>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</si>
  <si>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</si>
  <si>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</si>
  <si>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</si>
  <si>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</si>
  <si>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</si>
  <si>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</si>
  <si>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</si>
  <si>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</si>
  <si>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</si>
  <si>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</si>
  <si>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</si>
  <si>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</si>
  <si>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</si>
  <si>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</si>
  <si>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</si>
  <si>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</si>
  <si>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</si>
  <si>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</si>
  <si>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</si>
  <si>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</si>
  <si>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</si>
  <si>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</si>
  <si>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</si>
  <si>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</si>
  <si>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</si>
  <si>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</si>
  <si>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</si>
  <si>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</si>
  <si>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</si>
  <si>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</si>
  <si>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</si>
  <si>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</si>
  <si>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</si>
  <si>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</si>
  <si>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</si>
  <si>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</si>
  <si>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</si>
  <si>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</si>
  <si>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</si>
  <si>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</si>
  <si>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</si>
  <si>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</si>
  <si>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</si>
  <si>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</si>
  <si>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</si>
  <si>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</si>
  <si>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</si>
  <si>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</si>
  <si>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</si>
  <si>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</si>
  <si>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</si>
  <si>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</si>
  <si>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</si>
  <si>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</si>
  <si>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</si>
  <si>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</si>
  <si>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</si>
  <si>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</si>
  <si>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</si>
  <si>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</si>
  <si>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</si>
  <si>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</si>
  <si>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</si>
  <si>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</si>
  <si>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</si>
  <si>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</si>
  <si>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</si>
  <si>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</si>
  <si>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</si>
  <si>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</si>
  <si>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</si>
  <si>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</si>
  <si>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</si>
  <si>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</si>
  <si>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</si>
  <si>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</si>
  <si>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</si>
  <si>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</si>
  <si>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</si>
  <si>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</si>
  <si>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</si>
  <si>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</si>
  <si>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</si>
  <si>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</si>
  <si>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</si>
  <si>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</si>
  <si>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</si>
  <si>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</si>
  <si>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</si>
  <si>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</si>
  <si>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</si>
  <si>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</si>
  <si>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</si>
  <si>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</si>
  <si>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</si>
  <si>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</si>
  <si>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</si>
  <si>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</si>
  <si>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</si>
  <si>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</si>
  <si>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</si>
  <si>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</si>
  <si>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</si>
  <si>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</si>
  <si>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</si>
  <si>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</si>
  <si>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</si>
  <si>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</si>
  <si>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</si>
  <si>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</si>
  <si>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</si>
  <si>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</si>
  <si>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</si>
  <si>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</si>
  <si>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</si>
  <si>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</si>
  <si>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</si>
  <si>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</si>
  <si>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</si>
  <si>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</si>
  <si>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</si>
  <si>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</si>
  <si>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</si>
  <si>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</si>
  <si>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</si>
  <si>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</si>
  <si>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</si>
  <si>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</si>
  <si>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</si>
  <si>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</si>
  <si>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</si>
  <si>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</si>
  <si>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</si>
  <si>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</si>
  <si>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</si>
  <si>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</si>
  <si>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</si>
  <si>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</si>
  <si>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</si>
  <si>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</si>
  <si>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</si>
  <si>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</si>
  <si>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</si>
  <si>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</si>
  <si>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</si>
  <si>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</si>
  <si>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</si>
  <si>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</si>
  <si>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</si>
  <si>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</si>
  <si>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</si>
  <si>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</si>
  <si>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</si>
  <si>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</si>
  <si>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</si>
  <si>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</si>
  <si>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</si>
  <si>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</si>
  <si>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</si>
  <si>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</si>
  <si>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</si>
  <si>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</si>
  <si>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</si>
  <si>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</si>
  <si>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</si>
  <si>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</si>
  <si>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</si>
  <si>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</si>
  <si>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</si>
  <si>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</si>
  <si>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</si>
  <si>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</si>
  <si>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</si>
  <si>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</si>
  <si>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</si>
  <si>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</si>
  <si>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</si>
  <si>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</si>
  <si>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</si>
  <si>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</si>
  <si>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</si>
  <si>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</si>
  <si>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</si>
  <si>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</si>
  <si>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</si>
  <si>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</si>
  <si>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</si>
  <si>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</si>
  <si>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</si>
  <si>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</si>
  <si>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</si>
  <si>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</si>
  <si>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</si>
  <si>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</si>
  <si>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</si>
  <si>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</si>
  <si>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</si>
  <si>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</si>
  <si>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</si>
  <si>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</si>
  <si>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</si>
  <si>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</si>
  <si>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</si>
  <si>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</si>
  <si>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</si>
  <si>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</si>
  <si>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</si>
  <si>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</si>
  <si>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</si>
  <si>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</si>
  <si>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</si>
  <si>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</si>
  <si>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</si>
  <si>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</si>
  <si>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</si>
  <si>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</si>
  <si>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</si>
  <si>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</si>
  <si>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</si>
  <si>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</si>
  <si>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</si>
  <si>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</si>
  <si>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</si>
  <si>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</si>
  <si>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</si>
  <si>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</si>
  <si>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</si>
  <si>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</si>
  <si>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</si>
  <si>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</si>
  <si>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</si>
  <si>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</si>
  <si>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</si>
  <si>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</si>
  <si>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</si>
  <si>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</si>
  <si>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</si>
  <si>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</si>
  <si>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</si>
  <si>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</si>
  <si>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</si>
  <si>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</si>
  <si>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</si>
  <si>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</si>
  <si>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</si>
  <si>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</si>
  <si>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</si>
  <si>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</si>
  <si>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</si>
  <si>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</si>
  <si>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</si>
  <si>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</si>
  <si>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</si>
  <si>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</si>
  <si>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</si>
  <si>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</si>
  <si>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</si>
  <si>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</si>
  <si>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</si>
  <si>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</si>
  <si>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</si>
  <si>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</si>
  <si>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</si>
  <si>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</si>
  <si>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</si>
  <si>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</si>
  <si>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</si>
  <si>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</si>
  <si>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</si>
  <si>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</si>
  <si>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</si>
  <si>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</si>
  <si>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</si>
  <si>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</si>
  <si>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</si>
  <si>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</si>
  <si>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</si>
  <si>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</si>
  <si>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</si>
  <si>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</si>
  <si>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</si>
  <si>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</si>
  <si>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</si>
  <si>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</si>
  <si>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</si>
  <si>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</si>
  <si>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</si>
  <si>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</si>
  <si>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</si>
  <si>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</si>
  <si>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</si>
  <si>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</si>
  <si>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</si>
  <si>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</si>
  <si>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</si>
  <si>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</si>
  <si>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</si>
  <si>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</si>
  <si>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</si>
  <si>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</si>
  <si>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</si>
  <si>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</si>
  <si>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</si>
  <si>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</si>
  <si>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</si>
  <si>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</si>
  <si>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</si>
  <si>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</si>
  <si>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</si>
  <si>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</si>
  <si>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</si>
  <si>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</si>
  <si>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</si>
  <si>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</si>
  <si>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</si>
  <si>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</si>
  <si>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</si>
  <si>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</si>
  <si>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</si>
  <si>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</si>
  <si>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</si>
  <si>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</si>
  <si>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</si>
  <si>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</si>
  <si>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</si>
  <si>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</si>
  <si>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</si>
  <si>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</si>
  <si>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</si>
  <si>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</si>
  <si>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</si>
  <si>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</si>
  <si>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</si>
  <si>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</si>
  <si>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</si>
  <si>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</si>
  <si>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</si>
  <si>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</si>
  <si>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</si>
  <si>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</si>
  <si>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</si>
  <si>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</si>
  <si>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</si>
  <si>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</si>
  <si>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</si>
  <si>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</si>
  <si>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</si>
  <si>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</si>
  <si>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</si>
  <si>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</si>
  <si>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</si>
  <si>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</si>
  <si>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</si>
  <si>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</si>
  <si>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</si>
  <si>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</si>
  <si>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</si>
  <si>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</si>
  <si>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</si>
  <si>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</si>
  <si>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</si>
  <si>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</si>
  <si>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</si>
  <si>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</si>
  <si>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</si>
  <si>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</si>
  <si>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</si>
  <si>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</si>
  <si>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</si>
  <si>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</si>
  <si>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</si>
  <si>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</si>
  <si>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</si>
  <si>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</si>
  <si>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</si>
  <si>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</si>
  <si>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</si>
  <si>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</si>
  <si>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</si>
  <si>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</si>
  <si>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</si>
  <si>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</si>
  <si>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</si>
  <si>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</si>
  <si>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</si>
  <si>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</si>
  <si>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</si>
  <si>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</si>
  <si>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</si>
  <si>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</si>
  <si>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</si>
  <si>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</si>
  <si>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</si>
  <si>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</si>
  <si>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</si>
  <si>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</si>
  <si>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</si>
  <si>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</si>
  <si>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</si>
  <si>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</si>
  <si>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</si>
  <si>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</si>
  <si>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</si>
  <si>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</si>
  <si>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</si>
  <si>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</si>
  <si>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</si>
  <si>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</si>
  <si>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</si>
  <si>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</si>
  <si>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</si>
  <si>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</si>
  <si>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</si>
  <si>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</si>
  <si>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</si>
  <si>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</si>
  <si>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</si>
  <si>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</si>
  <si>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</si>
  <si>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</si>
  <si>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</si>
  <si>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</si>
  <si>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</si>
  <si>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</si>
  <si>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</si>
  <si>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</si>
  <si>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</si>
  <si>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</si>
  <si>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</si>
  <si>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</si>
  <si>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</si>
  <si>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</si>
  <si>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</si>
  <si>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</si>
  <si>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</si>
  <si>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</si>
  <si>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</si>
  <si>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</si>
  <si>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</si>
  <si>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</si>
  <si>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</si>
  <si>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</si>
  <si>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</si>
  <si>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</si>
  <si>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</si>
  <si>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</si>
  <si>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</si>
  <si>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</si>
  <si>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</si>
  <si>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</si>
  <si>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</si>
  <si>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</si>
  <si>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</si>
  <si>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</si>
  <si>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</si>
  <si>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</si>
  <si>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</si>
  <si>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</si>
  <si>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</si>
  <si>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</si>
  <si>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</si>
  <si>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</si>
  <si>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</si>
  <si>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</si>
  <si>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</si>
  <si>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</si>
  <si>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</si>
  <si>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</si>
  <si>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</si>
  <si>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</si>
  <si>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</si>
  <si>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</si>
  <si>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</si>
  <si>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</si>
  <si>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</si>
  <si>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</si>
  <si>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</si>
  <si>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</si>
  <si>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</si>
  <si>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</si>
  <si>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</si>
  <si>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</si>
  <si>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</si>
  <si>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</si>
  <si>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</si>
  <si>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</si>
  <si>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</si>
  <si>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</si>
  <si>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</si>
  <si>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</si>
  <si>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</si>
  <si>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</si>
  <si>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</si>
  <si>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</si>
  <si>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</si>
  <si>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</si>
  <si>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</si>
  <si>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</si>
  <si>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</si>
  <si>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</si>
  <si>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</si>
  <si>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</si>
  <si>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</si>
  <si>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</si>
  <si>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</si>
  <si>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</si>
  <si>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</si>
  <si>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</si>
  <si>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</si>
  <si>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</si>
  <si>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</si>
  <si>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</si>
  <si>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</si>
  <si>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</si>
  <si>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</si>
  <si>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</si>
  <si>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</si>
  <si>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</si>
  <si>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</si>
  <si>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</si>
  <si>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</si>
  <si>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</si>
  <si>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</si>
  <si>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</si>
  <si>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</si>
  <si>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</si>
  <si>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</si>
  <si>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</si>
  <si>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</si>
  <si>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</si>
  <si>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</si>
  <si>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</si>
  <si>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</si>
  <si>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</si>
  <si>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</si>
  <si>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</si>
  <si>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</si>
  <si>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</si>
  <si>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</si>
  <si>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</si>
  <si>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</si>
  <si>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</si>
  <si>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</si>
  <si>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</si>
  <si>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</si>
  <si>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</si>
  <si>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</si>
  <si>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</si>
  <si>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</si>
  <si>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</si>
  <si>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</si>
  <si>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</si>
  <si>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</si>
  <si>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</si>
  <si>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</si>
  <si>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</si>
  <si>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</si>
  <si>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</si>
  <si>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</si>
  <si>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</si>
  <si>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</si>
  <si>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</si>
  <si>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</si>
  <si>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</si>
  <si>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</si>
  <si>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</si>
  <si>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</si>
  <si>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</si>
  <si>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</si>
  <si>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</si>
  <si>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</si>
  <si>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</si>
  <si>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</si>
  <si>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</si>
  <si>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</si>
  <si>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</si>
  <si>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</si>
  <si>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</si>
  <si>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</si>
  <si>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</si>
  <si>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</si>
  <si>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</si>
  <si>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</si>
  <si>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</si>
  <si>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</si>
  <si>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</si>
  <si>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</si>
  <si>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</si>
  <si>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</si>
  <si>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</si>
  <si>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</si>
  <si>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</si>
  <si>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</si>
  <si>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</si>
  <si>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</si>
  <si>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</si>
  <si>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</si>
  <si>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</si>
  <si>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</si>
  <si>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</si>
  <si>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</si>
  <si>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</si>
  <si>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</si>
  <si>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</si>
  <si>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</si>
  <si>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</si>
  <si>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</si>
  <si>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</si>
  <si>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</si>
  <si>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</si>
  <si>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</si>
  <si>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</si>
  <si>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</si>
  <si>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</si>
  <si>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</si>
  <si>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</si>
  <si>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</si>
  <si>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</si>
  <si>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</si>
  <si>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</si>
  <si>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</si>
  <si>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</si>
  <si>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</si>
  <si>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</si>
  <si>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</si>
  <si>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</si>
  <si>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</si>
  <si>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</si>
  <si>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</si>
  <si>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</si>
  <si>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</si>
  <si>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</si>
  <si>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</si>
  <si>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</si>
  <si>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</si>
  <si>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</si>
  <si>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</si>
  <si>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</si>
  <si>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</si>
  <si>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</si>
  <si>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</si>
  <si>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</si>
  <si>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</si>
  <si>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</si>
  <si>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</si>
  <si>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</si>
  <si>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</si>
  <si>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</si>
  <si>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</si>
  <si>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</si>
  <si>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</si>
  <si>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</si>
  <si>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</si>
  <si>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</si>
  <si>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</si>
  <si>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</si>
  <si>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</si>
  <si>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</si>
  <si>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</si>
  <si>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</si>
  <si>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</si>
  <si>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</si>
  <si>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</si>
  <si>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</si>
  <si>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</si>
  <si>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</si>
  <si>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</si>
  <si>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</si>
  <si>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</si>
  <si>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</si>
  <si>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</si>
  <si>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</si>
  <si>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</si>
  <si>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</si>
  <si>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</si>
  <si>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</si>
  <si>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</si>
  <si>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</si>
  <si>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</si>
  <si>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</si>
  <si>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</si>
  <si>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</si>
  <si>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</si>
  <si>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</si>
  <si>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</si>
  <si>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</si>
  <si>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</si>
  <si>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</si>
  <si>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</si>
  <si>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</si>
  <si>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</si>
  <si>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</si>
  <si>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</si>
  <si>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</si>
  <si>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</si>
  <si>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</si>
  <si>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</si>
  <si>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</si>
  <si>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</si>
  <si>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</si>
  <si>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</si>
  <si>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</si>
  <si>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</si>
  <si>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</si>
  <si>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</si>
  <si>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</si>
  <si>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</si>
  <si>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</si>
  <si>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</si>
  <si>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</si>
  <si>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</si>
  <si>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</si>
  <si>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</si>
  <si>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</si>
  <si>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</si>
  <si>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</si>
  <si>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</si>
  <si>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</si>
  <si>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</si>
  <si>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</si>
  <si>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</si>
  <si>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</si>
  <si>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</si>
  <si>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</si>
  <si>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</si>
  <si>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</si>
  <si>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</si>
  <si>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</si>
  <si>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</si>
  <si>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</si>
  <si>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</si>
  <si>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</si>
  <si>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</si>
  <si>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</si>
  <si>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</si>
  <si>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</si>
  <si>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</si>
  <si>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</si>
  <si>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</si>
  <si>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</si>
  <si>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</si>
  <si>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</si>
  <si>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</si>
  <si>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</si>
  <si>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</si>
  <si>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</si>
  <si>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</si>
  <si>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</si>
  <si>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</si>
  <si>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</si>
  <si>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</si>
  <si>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</si>
  <si>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</si>
  <si>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</si>
  <si>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</si>
  <si>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</si>
  <si>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</si>
  <si>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</si>
  <si>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</si>
  <si>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</si>
  <si>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</si>
  <si>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</si>
  <si>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</si>
  <si>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</si>
  <si>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</si>
  <si>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</si>
  <si>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</si>
  <si>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</si>
  <si>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</si>
  <si>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</si>
  <si>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</si>
  <si>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</si>
  <si>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</si>
  <si>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</si>
  <si>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</si>
  <si>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</si>
  <si>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</si>
  <si>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</si>
  <si>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</si>
  <si>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</si>
  <si>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71004</t>
  </si>
  <si>
    <t>BERINGEN</t>
  </si>
  <si>
    <t>Paarden&amp;pony's 200 - 600 kg</t>
  </si>
  <si>
    <t>Paarden&amp;pony's &lt; 200 kg</t>
  </si>
  <si>
    <t>referentietaak LNE (2017); Jaarverslag De Lijn (2014)</t>
  </si>
  <si>
    <t>op basis van VEA (maart 2018) en Inventaris Hernieuwbare Energiebronnen (juni 2018)</t>
  </si>
  <si>
    <t>VEA (maart 2016)</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</si>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</sst>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358970.2182826511</c:v>
                </c:pt>
                <c:pt idx="1">
                  <c:v>84543.394428396918</c:v>
                </c:pt>
                <c:pt idx="2">
                  <c:v>1946.278</c:v>
                </c:pt>
                <c:pt idx="3">
                  <c:v>2838.34306584978</c:v>
                </c:pt>
                <c:pt idx="4">
                  <c:v>102684.19339378319</c:v>
                </c:pt>
                <c:pt idx="5">
                  <c:v>254032.51495975108</c:v>
                </c:pt>
                <c:pt idx="6">
                  <c:v>3630.7817499355501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358970.2182826511</c:v>
                </c:pt>
                <c:pt idx="1">
                  <c:v>84543.394428396918</c:v>
                </c:pt>
                <c:pt idx="2">
                  <c:v>1946.278</c:v>
                </c:pt>
                <c:pt idx="3">
                  <c:v>2838.34306584978</c:v>
                </c:pt>
                <c:pt idx="4">
                  <c:v>102684.19339378319</c:v>
                </c:pt>
                <c:pt idx="5">
                  <c:v>254032.51495975108</c:v>
                </c:pt>
                <c:pt idx="6">
                  <c:v>3630.7817499355501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70214.471165458628</c:v>
                </c:pt>
                <c:pt idx="1">
                  <c:v>14871.562051011524</c:v>
                </c:pt>
                <c:pt idx="2">
                  <c:v>318.15592200373163</c:v>
                </c:pt>
                <c:pt idx="3">
                  <c:v>668.90878093595791</c:v>
                </c:pt>
                <c:pt idx="4">
                  <c:v>17992.168768621537</c:v>
                </c:pt>
                <c:pt idx="5">
                  <c:v>63643.533372424987</c:v>
                </c:pt>
                <c:pt idx="6">
                  <c:v>917.11815253742157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33888"/>
      </c:barChart>
      <c:catAx>
        <c:axId val="179321088"/>
        <c:scaling>
          <c:orientation val="minMax"/>
        </c:scaling>
        <c:axPos val="b"/>
        <c:numFmt formatCode="General" sourceLinked="0"/>
        <c:tickLblPos val="nextTo"/>
        <c:crossAx val="180133888"/>
        <c:crosses val="autoZero"/>
        <c:auto val="1"/>
        <c:lblAlgn val="ctr"/>
        <c:lblOffset val="100"/>
      </c:catAx>
      <c:valAx>
        <c:axId val="180133888"/>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70214.471165458628</c:v>
                </c:pt>
                <c:pt idx="1">
                  <c:v>14871.562051011524</c:v>
                </c:pt>
                <c:pt idx="2">
                  <c:v>318.15592200373163</c:v>
                </c:pt>
                <c:pt idx="3">
                  <c:v>668.90878093595791</c:v>
                </c:pt>
                <c:pt idx="4">
                  <c:v>17992.168768621537</c:v>
                </c:pt>
                <c:pt idx="5">
                  <c:v>63643.533372424987</c:v>
                </c:pt>
                <c:pt idx="6">
                  <c:v>917.11815253742157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71004</v>
      </c>
      <c r="B6" s="416"/>
      <c r="C6" s="417"/>
    </row>
    <row r="7" spans="1:7" s="414" customFormat="1" ht="15.75" customHeight="1">
      <c r="A7" s="418" t="str">
        <f>txtMunicipality</f>
        <v>BERINGEN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17056</v>
      </c>
      <c r="C9" s="342">
        <v>18200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2010</v>
      </c>
    </row>
    <row r="15" spans="1:6">
      <c r="A15" s="348" t="s">
        <v>184</v>
      </c>
      <c r="B15" s="334">
        <v>3</v>
      </c>
    </row>
    <row r="16" spans="1:6">
      <c r="A16" s="348" t="s">
        <v>6</v>
      </c>
      <c r="B16" s="334">
        <v>119</v>
      </c>
    </row>
    <row r="17" spans="1:6">
      <c r="A17" s="348" t="s">
        <v>7</v>
      </c>
      <c r="B17" s="334">
        <v>149</v>
      </c>
    </row>
    <row r="18" spans="1:6">
      <c r="A18" s="348" t="s">
        <v>8</v>
      </c>
      <c r="B18" s="334">
        <v>216</v>
      </c>
    </row>
    <row r="19" spans="1:6">
      <c r="A19" s="348" t="s">
        <v>9</v>
      </c>
      <c r="B19" s="334">
        <v>216</v>
      </c>
    </row>
    <row r="20" spans="1:6">
      <c r="A20" s="348" t="s">
        <v>10</v>
      </c>
      <c r="B20" s="334">
        <v>166</v>
      </c>
    </row>
    <row r="21" spans="1:6">
      <c r="A21" s="348" t="s">
        <v>11</v>
      </c>
      <c r="B21" s="334">
        <v>103</v>
      </c>
    </row>
    <row r="22" spans="1:6">
      <c r="A22" s="348" t="s">
        <v>12</v>
      </c>
      <c r="B22" s="334">
        <v>2585</v>
      </c>
    </row>
    <row r="23" spans="1:6">
      <c r="A23" s="348" t="s">
        <v>13</v>
      </c>
      <c r="B23" s="334">
        <v>0</v>
      </c>
    </row>
    <row r="24" spans="1:6">
      <c r="A24" s="348" t="s">
        <v>14</v>
      </c>
      <c r="B24" s="334">
        <v>0</v>
      </c>
    </row>
    <row r="25" spans="1:6">
      <c r="A25" s="348" t="s">
        <v>15</v>
      </c>
      <c r="B25" s="334">
        <v>165</v>
      </c>
    </row>
    <row r="26" spans="1:6">
      <c r="A26" s="348" t="s">
        <v>16</v>
      </c>
      <c r="B26" s="334">
        <v>595</v>
      </c>
    </row>
    <row r="27" spans="1:6">
      <c r="A27" s="348" t="s">
        <v>17</v>
      </c>
      <c r="B27" s="334">
        <v>25</v>
      </c>
    </row>
    <row r="28" spans="1:6" s="356" customFormat="1">
      <c r="A28" s="355" t="s">
        <v>18</v>
      </c>
      <c r="B28" s="355">
        <v>10411</v>
      </c>
    </row>
    <row r="29" spans="1:6">
      <c r="A29" s="355" t="s">
        <v>865</v>
      </c>
      <c r="B29" s="355">
        <v>163</v>
      </c>
      <c r="C29" s="356"/>
      <c r="D29" s="356"/>
      <c r="E29" s="356"/>
      <c r="F29" s="356"/>
    </row>
    <row r="30" spans="1:6">
      <c r="A30" s="341" t="s">
        <v>866</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36</v>
      </c>
      <c r="D36" s="334">
        <v>6134769</v>
      </c>
      <c r="E36" s="334">
        <v>16</v>
      </c>
      <c r="F36" s="334">
        <v>93026</v>
      </c>
    </row>
    <row r="37" spans="1:6">
      <c r="A37" s="348" t="s">
        <v>25</v>
      </c>
      <c r="B37" s="348" t="s">
        <v>28</v>
      </c>
      <c r="C37" s="334">
        <v>0</v>
      </c>
      <c r="D37" s="334">
        <v>0</v>
      </c>
      <c r="E37" s="334">
        <v>0</v>
      </c>
      <c r="F37" s="334">
        <v>0</v>
      </c>
    </row>
    <row r="38" spans="1:6">
      <c r="A38" s="348" t="s">
        <v>25</v>
      </c>
      <c r="B38" s="348" t="s">
        <v>29</v>
      </c>
      <c r="C38" s="334">
        <v>1</v>
      </c>
      <c r="D38" s="334">
        <v>12343</v>
      </c>
      <c r="E38" s="334">
        <v>3</v>
      </c>
      <c r="F38" s="334">
        <v>22130</v>
      </c>
    </row>
    <row r="39" spans="1:6">
      <c r="A39" s="348" t="s">
        <v>30</v>
      </c>
      <c r="B39" s="348" t="s">
        <v>31</v>
      </c>
      <c r="C39" s="334">
        <v>8717</v>
      </c>
      <c r="D39" s="334">
        <v>136680615</v>
      </c>
      <c r="E39" s="334">
        <v>17457</v>
      </c>
      <c r="F39" s="334">
        <v>60298023</v>
      </c>
    </row>
    <row r="40" spans="1:6">
      <c r="A40" s="348" t="s">
        <v>30</v>
      </c>
      <c r="B40" s="348" t="s">
        <v>29</v>
      </c>
      <c r="C40" s="334">
        <v>0</v>
      </c>
      <c r="D40" s="334">
        <v>0</v>
      </c>
      <c r="E40" s="334">
        <v>0</v>
      </c>
      <c r="F40" s="334">
        <v>0</v>
      </c>
    </row>
    <row r="41" spans="1:6">
      <c r="A41" s="348" t="s">
        <v>32</v>
      </c>
      <c r="B41" s="348" t="s">
        <v>33</v>
      </c>
      <c r="C41" s="334">
        <v>111</v>
      </c>
      <c r="D41" s="334">
        <v>4963691</v>
      </c>
      <c r="E41" s="334">
        <v>268</v>
      </c>
      <c r="F41" s="334">
        <v>3762015</v>
      </c>
    </row>
    <row r="42" spans="1:6">
      <c r="A42" s="348" t="s">
        <v>32</v>
      </c>
      <c r="B42" s="348" t="s">
        <v>34</v>
      </c>
      <c r="C42" s="334">
        <v>3</v>
      </c>
      <c r="D42" s="334">
        <v>848249</v>
      </c>
      <c r="E42" s="334">
        <v>3</v>
      </c>
      <c r="F42" s="334">
        <v>2805468</v>
      </c>
    </row>
    <row r="43" spans="1:6">
      <c r="A43" s="348" t="s">
        <v>32</v>
      </c>
      <c r="B43" s="348" t="s">
        <v>35</v>
      </c>
      <c r="C43" s="334">
        <v>0</v>
      </c>
      <c r="D43" s="334">
        <v>0</v>
      </c>
      <c r="E43" s="334">
        <v>0</v>
      </c>
      <c r="F43" s="334">
        <v>0</v>
      </c>
    </row>
    <row r="44" spans="1:6">
      <c r="A44" s="348" t="s">
        <v>32</v>
      </c>
      <c r="B44" s="348" t="s">
        <v>36</v>
      </c>
      <c r="C44" s="334">
        <v>22</v>
      </c>
      <c r="D44" s="334">
        <v>10309539</v>
      </c>
      <c r="E44" s="334">
        <v>45</v>
      </c>
      <c r="F44" s="334">
        <v>4165939</v>
      </c>
    </row>
    <row r="45" spans="1:6">
      <c r="A45" s="348" t="s">
        <v>32</v>
      </c>
      <c r="B45" s="348" t="s">
        <v>37</v>
      </c>
      <c r="C45" s="334">
        <v>3</v>
      </c>
      <c r="D45" s="334">
        <v>294155</v>
      </c>
      <c r="E45" s="334">
        <v>8</v>
      </c>
      <c r="F45" s="334">
        <v>1093137</v>
      </c>
    </row>
    <row r="46" spans="1:6">
      <c r="A46" s="348" t="s">
        <v>32</v>
      </c>
      <c r="B46" s="348" t="s">
        <v>38</v>
      </c>
      <c r="C46" s="334">
        <v>0</v>
      </c>
      <c r="D46" s="334">
        <v>0</v>
      </c>
      <c r="E46" s="334">
        <v>0</v>
      </c>
      <c r="F46" s="334">
        <v>0</v>
      </c>
    </row>
    <row r="47" spans="1:6">
      <c r="A47" s="348" t="s">
        <v>32</v>
      </c>
      <c r="B47" s="348" t="s">
        <v>39</v>
      </c>
      <c r="C47" s="334">
        <v>7</v>
      </c>
      <c r="D47" s="334">
        <v>14135185</v>
      </c>
      <c r="E47" s="334">
        <v>13</v>
      </c>
      <c r="F47" s="334">
        <v>17821981</v>
      </c>
    </row>
    <row r="48" spans="1:6">
      <c r="A48" s="348" t="s">
        <v>32</v>
      </c>
      <c r="B48" s="348" t="s">
        <v>29</v>
      </c>
      <c r="C48" s="334">
        <v>3</v>
      </c>
      <c r="D48" s="334">
        <v>1540112</v>
      </c>
      <c r="E48" s="334">
        <v>1</v>
      </c>
      <c r="F48" s="334">
        <v>176607</v>
      </c>
    </row>
    <row r="49" spans="1:6">
      <c r="A49" s="348" t="s">
        <v>32</v>
      </c>
      <c r="B49" s="348" t="s">
        <v>40</v>
      </c>
      <c r="C49" s="334">
        <v>0</v>
      </c>
      <c r="D49" s="334">
        <v>0</v>
      </c>
      <c r="E49" s="334">
        <v>6</v>
      </c>
      <c r="F49" s="334">
        <v>273798</v>
      </c>
    </row>
    <row r="50" spans="1:6">
      <c r="A50" s="348" t="s">
        <v>32</v>
      </c>
      <c r="B50" s="348" t="s">
        <v>41</v>
      </c>
      <c r="C50" s="334">
        <v>13</v>
      </c>
      <c r="D50" s="334">
        <v>5847933</v>
      </c>
      <c r="E50" s="334">
        <v>25</v>
      </c>
      <c r="F50" s="334">
        <v>6807630</v>
      </c>
    </row>
    <row r="51" spans="1:6">
      <c r="A51" s="348" t="s">
        <v>42</v>
      </c>
      <c r="B51" s="348" t="s">
        <v>43</v>
      </c>
      <c r="C51" s="334">
        <v>11</v>
      </c>
      <c r="D51" s="334">
        <v>532174</v>
      </c>
      <c r="E51" s="334">
        <v>46</v>
      </c>
      <c r="F51" s="334">
        <v>637425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140</v>
      </c>
      <c r="F54" s="334">
        <v>1946278</v>
      </c>
    </row>
    <row r="55" spans="1:6">
      <c r="A55" s="348" t="s">
        <v>46</v>
      </c>
      <c r="B55" s="348" t="s">
        <v>29</v>
      </c>
      <c r="C55" s="334">
        <v>0</v>
      </c>
      <c r="D55" s="334">
        <v>0</v>
      </c>
      <c r="E55" s="334">
        <v>0</v>
      </c>
      <c r="F55" s="334">
        <v>0</v>
      </c>
    </row>
    <row r="56" spans="1:6">
      <c r="A56" s="348" t="s">
        <v>48</v>
      </c>
      <c r="B56" s="348" t="s">
        <v>29</v>
      </c>
      <c r="C56" s="334">
        <v>108</v>
      </c>
      <c r="D56" s="334">
        <v>2076971</v>
      </c>
      <c r="E56" s="334">
        <v>293</v>
      </c>
      <c r="F56" s="334">
        <v>3774572</v>
      </c>
    </row>
    <row r="57" spans="1:6">
      <c r="A57" s="348" t="s">
        <v>49</v>
      </c>
      <c r="B57" s="348" t="s">
        <v>50</v>
      </c>
      <c r="C57" s="334">
        <v>100</v>
      </c>
      <c r="D57" s="334">
        <v>4127953</v>
      </c>
      <c r="E57" s="334">
        <v>229</v>
      </c>
      <c r="F57" s="334">
        <v>6094951</v>
      </c>
    </row>
    <row r="58" spans="1:6">
      <c r="A58" s="348" t="s">
        <v>49</v>
      </c>
      <c r="B58" s="348" t="s">
        <v>51</v>
      </c>
      <c r="C58" s="334">
        <v>49</v>
      </c>
      <c r="D58" s="334">
        <v>3179963</v>
      </c>
      <c r="E58" s="334">
        <v>118</v>
      </c>
      <c r="F58" s="334">
        <v>2990623</v>
      </c>
    </row>
    <row r="59" spans="1:6">
      <c r="A59" s="348" t="s">
        <v>49</v>
      </c>
      <c r="B59" s="348" t="s">
        <v>52</v>
      </c>
      <c r="C59" s="334">
        <v>201</v>
      </c>
      <c r="D59" s="334">
        <v>8695334</v>
      </c>
      <c r="E59" s="334">
        <v>403</v>
      </c>
      <c r="F59" s="334">
        <v>16235204</v>
      </c>
    </row>
    <row r="60" spans="1:6">
      <c r="A60" s="348" t="s">
        <v>49</v>
      </c>
      <c r="B60" s="348" t="s">
        <v>53</v>
      </c>
      <c r="C60" s="334">
        <v>81</v>
      </c>
      <c r="D60" s="334">
        <v>4132970</v>
      </c>
      <c r="E60" s="334">
        <v>126</v>
      </c>
      <c r="F60" s="334">
        <v>4457703</v>
      </c>
    </row>
    <row r="61" spans="1:6">
      <c r="A61" s="348" t="s">
        <v>49</v>
      </c>
      <c r="B61" s="348" t="s">
        <v>54</v>
      </c>
      <c r="C61" s="334">
        <v>178</v>
      </c>
      <c r="D61" s="334">
        <v>8121403</v>
      </c>
      <c r="E61" s="334">
        <v>610</v>
      </c>
      <c r="F61" s="334">
        <v>13455481.877906976</v>
      </c>
    </row>
    <row r="62" spans="1:6">
      <c r="A62" s="348" t="s">
        <v>49</v>
      </c>
      <c r="B62" s="348" t="s">
        <v>55</v>
      </c>
      <c r="C62" s="334">
        <v>22</v>
      </c>
      <c r="D62" s="334">
        <v>3247188</v>
      </c>
      <c r="E62" s="334">
        <v>45</v>
      </c>
      <c r="F62" s="334">
        <v>1228697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304187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285223</v>
      </c>
      <c r="E68" s="334">
        <v>16</v>
      </c>
      <c r="F68" s="334">
        <v>251184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90586243</v>
      </c>
      <c r="E73" s="477">
        <v>93831082.685087144</v>
      </c>
    </row>
    <row r="74" spans="1:6">
      <c r="A74" s="348" t="s">
        <v>64</v>
      </c>
      <c r="B74" s="348" t="s">
        <v>714</v>
      </c>
      <c r="C74" s="1288" t="s">
        <v>716</v>
      </c>
      <c r="D74" s="477">
        <v>4268258.2165728882</v>
      </c>
      <c r="E74" s="477">
        <v>4492211.8295661379</v>
      </c>
    </row>
    <row r="75" spans="1:6">
      <c r="A75" s="348" t="s">
        <v>65</v>
      </c>
      <c r="B75" s="348" t="s">
        <v>713</v>
      </c>
      <c r="C75" s="1288" t="s">
        <v>717</v>
      </c>
      <c r="D75" s="477">
        <v>82909219</v>
      </c>
      <c r="E75" s="477">
        <v>85904025.911779642</v>
      </c>
    </row>
    <row r="76" spans="1:6">
      <c r="A76" s="348" t="s">
        <v>65</v>
      </c>
      <c r="B76" s="348" t="s">
        <v>714</v>
      </c>
      <c r="C76" s="1288" t="s">
        <v>718</v>
      </c>
      <c r="D76" s="477">
        <v>2109990.2165728882</v>
      </c>
      <c r="E76" s="477">
        <v>2236330.2169188601</v>
      </c>
    </row>
    <row r="77" spans="1:6">
      <c r="A77" s="348" t="s">
        <v>66</v>
      </c>
      <c r="B77" s="348" t="s">
        <v>713</v>
      </c>
      <c r="C77" s="1288" t="s">
        <v>719</v>
      </c>
      <c r="D77" s="477">
        <v>90611183</v>
      </c>
      <c r="E77" s="477">
        <v>102297647.94146946</v>
      </c>
    </row>
    <row r="78" spans="1:6">
      <c r="A78" s="341" t="s">
        <v>66</v>
      </c>
      <c r="B78" s="341" t="s">
        <v>714</v>
      </c>
      <c r="C78" s="341" t="s">
        <v>720</v>
      </c>
      <c r="D78" s="1284">
        <v>17546070</v>
      </c>
      <c r="E78" s="1284">
        <v>18931303.395031542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970231.56685422396</v>
      </c>
      <c r="C83" s="477">
        <v>953692.13412966602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22337.24300659529</v>
      </c>
    </row>
    <row r="91" spans="1:6">
      <c r="A91" s="348" t="s">
        <v>68</v>
      </c>
      <c r="B91" s="334">
        <v>11321.830634958229</v>
      </c>
    </row>
    <row r="92" spans="1:6">
      <c r="A92" s="341" t="s">
        <v>69</v>
      </c>
      <c r="B92" s="342">
        <v>6864.4305283113144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96</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511</v>
      </c>
    </row>
    <row r="130" spans="1:6">
      <c r="A130" s="348" t="s">
        <v>295</v>
      </c>
      <c r="B130" s="334">
        <v>3</v>
      </c>
    </row>
    <row r="131" spans="1:6">
      <c r="A131" s="348" t="s">
        <v>296</v>
      </c>
      <c r="B131" s="334">
        <v>2</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155653.98825850713</v>
      </c>
      <c r="C3" s="43" t="s">
        <v>170</v>
      </c>
      <c r="D3" s="43"/>
      <c r="E3" s="154"/>
      <c r="F3" s="43"/>
      <c r="G3" s="43"/>
      <c r="H3" s="43"/>
      <c r="I3" s="43"/>
      <c r="J3" s="43"/>
      <c r="K3" s="96"/>
    </row>
    <row r="4" spans="1:11">
      <c r="A4" s="384" t="s">
        <v>171</v>
      </c>
      <c r="B4" s="49">
        <f>IF(ISERROR('SEAP template'!B69),0,'SEAP template'!B69)</f>
        <v>40568.504169864835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10.694117647058825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0.16346889910060722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15.277310924369752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64.285714285714292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1946.278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1946.278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0.16346889910060722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318.15592200373163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60298.023000000001</v>
      </c>
      <c r="C5" s="17">
        <f>IF(ISERROR('Eigen informatie GS &amp; warmtenet'!B57),0,'Eigen informatie GS &amp; warmtenet'!B57)</f>
        <v>0</v>
      </c>
      <c r="D5" s="30">
        <f>(SUM(HH_hh_gas_kWh,HH_rest_gas_kWh)/1000)*0.902</f>
        <v>123285.91472999999</v>
      </c>
      <c r="E5" s="17">
        <f>B46*B57</f>
        <v>4366.3542106766026</v>
      </c>
      <c r="F5" s="17">
        <f>B51*B62</f>
        <v>122142.0799877221</v>
      </c>
      <c r="G5" s="18"/>
      <c r="H5" s="17"/>
      <c r="I5" s="17"/>
      <c r="J5" s="17">
        <f>B50*B61+C50*C61</f>
        <v>0</v>
      </c>
      <c r="K5" s="17"/>
      <c r="L5" s="17"/>
      <c r="M5" s="17"/>
      <c r="N5" s="17">
        <f>B48*B59+C48*C59</f>
        <v>35150.189052627458</v>
      </c>
      <c r="O5" s="17">
        <f>B69*B70*B71</f>
        <v>956.7600000000001</v>
      </c>
      <c r="P5" s="17">
        <f>B77*B78*B79/1000-B77*B78*B79/1000/B80</f>
        <v>1449.0666666666666</v>
      </c>
    </row>
    <row r="6" spans="1:16">
      <c r="A6" s="16" t="s">
        <v>631</v>
      </c>
      <c r="B6" s="844">
        <f>kWh_PV_kleiner_dan_10kW</f>
        <v>11321.830634958229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71619.853634958228</v>
      </c>
      <c r="C8" s="21">
        <f>C5</f>
        <v>0</v>
      </c>
      <c r="D8" s="21">
        <f>D5</f>
        <v>123285.91472999999</v>
      </c>
      <c r="E8" s="21">
        <f>E5</f>
        <v>4366.3542106766026</v>
      </c>
      <c r="F8" s="21">
        <f>F5</f>
        <v>122142.0799877221</v>
      </c>
      <c r="G8" s="21"/>
      <c r="H8" s="21"/>
      <c r="I8" s="21"/>
      <c r="J8" s="21">
        <f>J5</f>
        <v>0</v>
      </c>
      <c r="K8" s="21"/>
      <c r="L8" s="21">
        <f>L5</f>
        <v>0</v>
      </c>
      <c r="M8" s="21">
        <f>M5</f>
        <v>0</v>
      </c>
      <c r="N8" s="21">
        <f>N5</f>
        <v>35150.189052627458</v>
      </c>
      <c r="O8" s="21">
        <f>O5</f>
        <v>956.7600000000001</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0.16346889910060722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11707.618627453243</v>
      </c>
      <c r="C12" s="23">
        <f ca="1">C10*C8</f>
        <v>0</v>
      </c>
      <c r="D12" s="23">
        <f>D8*D10</f>
        <v>24903.754775459998</v>
      </c>
      <c r="E12" s="23">
        <f>E10*E8</f>
        <v>991.16240582358887</v>
      </c>
      <c r="F12" s="23">
        <f>F10*F8</f>
        <v>32611.935356721802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17056</v>
      </c>
      <c r="C28" s="36"/>
      <c r="D28" s="228"/>
    </row>
    <row r="29" spans="1:7" s="15" customFormat="1">
      <c r="A29" s="230" t="s">
        <v>741</v>
      </c>
      <c r="B29" s="37">
        <f>SUM(HH_hh_gas_aantal,HH_rest_gas_aantal)</f>
        <v>8717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8717</v>
      </c>
      <c r="C32" s="167">
        <f>IF(ISERROR(B32/SUM($B$32,$B$34,$B$35,$B$36,$B$38,$B$39)*100),0,B32/SUM($B$32,$B$34,$B$35,$B$36,$B$38,$B$39)*100)</f>
        <v>51.336866902237929</v>
      </c>
      <c r="D32" s="233"/>
      <c r="G32" s="15"/>
    </row>
    <row r="33" spans="1:7">
      <c r="A33" s="171" t="s">
        <v>72</v>
      </c>
      <c r="B33" s="34" t="s">
        <v>111</v>
      </c>
      <c r="C33" s="167"/>
      <c r="D33" s="233"/>
      <c r="G33" s="15"/>
    </row>
    <row r="34" spans="1:7">
      <c r="A34" s="171" t="s">
        <v>73</v>
      </c>
      <c r="B34" s="33">
        <f>IF((($B$28-$B$32-$B$39-$B$77-$B$38)*C20/100)&lt;0,0,($B$28-$B$32-$B$39-$B$77-$B$38)*C20/100)</f>
        <v>292.64136858475894</v>
      </c>
      <c r="C34" s="167">
        <f>IF(ISERROR(B34/SUM($B$32,$B$34,$B$35,$B$36,$B$38,$B$39)*100),0,B34/SUM($B$32,$B$34,$B$35,$B$36,$B$38,$B$39)*100)</f>
        <v>1.7234474003813838</v>
      </c>
      <c r="D34" s="233"/>
      <c r="G34" s="15"/>
    </row>
    <row r="35" spans="1:7">
      <c r="A35" s="171" t="s">
        <v>74</v>
      </c>
      <c r="B35" s="33">
        <f>IF((($B$28-$B$32-$B$39-$B$77-$B$38)*C21/100)&lt;0,0,($B$28-$B$32-$B$39-$B$77-$B$38)*C21/100)</f>
        <v>2387.3374805598751</v>
      </c>
      <c r="C35" s="167">
        <f>IF(ISERROR(B35/SUM($B$32,$B$34,$B$35,$B$36,$B$38,$B$39)*100),0,B35/SUM($B$32,$B$34,$B$35,$B$36,$B$38,$B$39)*100)</f>
        <v>14.059702476795497</v>
      </c>
      <c r="D35" s="233"/>
      <c r="G35" s="15"/>
    </row>
    <row r="36" spans="1:7">
      <c r="A36" s="171" t="s">
        <v>75</v>
      </c>
      <c r="B36" s="33">
        <f>IF((($B$28-$B$32-$B$39-$B$77-$B$38)*C22/100)&lt;0,0,($B$28-$B$32-$B$39-$B$77-$B$38)*C22/100)</f>
        <v>621.22115085536541</v>
      </c>
      <c r="C36" s="167">
        <f>IF(ISERROR(B36/SUM($B$32,$B$34,$B$35,$B$36,$B$38,$B$39)*100),0,B36/SUM($B$32,$B$34,$B$35,$B$36,$B$38,$B$39)*100)</f>
        <v>3.6585462358973224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4961.8</v>
      </c>
      <c r="C39" s="167">
        <f>IF(ISERROR(B39/SUM($B$32,$B$34,$B$35,$B$36,$B$38,$B$39)*100),0,B39/SUM($B$32,$B$34,$B$35,$B$36,$B$38,$B$39)*100)</f>
        <v>29.22143698468787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8717</v>
      </c>
      <c r="C44" s="34" t="s">
        <v>111</v>
      </c>
      <c r="D44" s="174"/>
    </row>
    <row r="45" spans="1:7">
      <c r="A45" s="171" t="s">
        <v>72</v>
      </c>
      <c r="B45" s="33" t="str">
        <f t="shared" si="0"/>
        <v>-</v>
      </c>
      <c r="C45" s="34" t="s">
        <v>111</v>
      </c>
      <c r="D45" s="174"/>
    </row>
    <row r="46" spans="1:7">
      <c r="A46" s="171" t="s">
        <v>73</v>
      </c>
      <c r="B46" s="33">
        <f t="shared" si="0"/>
        <v>292.64136858475894</v>
      </c>
      <c r="C46" s="34" t="s">
        <v>111</v>
      </c>
      <c r="D46" s="174"/>
    </row>
    <row r="47" spans="1:7">
      <c r="A47" s="171" t="s">
        <v>74</v>
      </c>
      <c r="B47" s="33">
        <f t="shared" si="0"/>
        <v>2387.3374805598751</v>
      </c>
      <c r="C47" s="34" t="s">
        <v>111</v>
      </c>
      <c r="D47" s="174"/>
    </row>
    <row r="48" spans="1:7">
      <c r="A48" s="171" t="s">
        <v>75</v>
      </c>
      <c r="B48" s="33">
        <f t="shared" si="0"/>
        <v>621.22115085536541</v>
      </c>
      <c r="C48" s="33">
        <f>B48*10</f>
        <v>6212.2115085536543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4961.8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44462.659877906975</v>
      </c>
      <c r="C5" s="17">
        <f>IF(ISERROR('Eigen informatie GS &amp; warmtenet'!B58),0,'Eigen informatie GS &amp; warmtenet'!B58)</f>
        <v>0</v>
      </c>
      <c r="D5" s="30">
        <f>SUM(D6:D12)</f>
        <v>28417.339522000009</v>
      </c>
      <c r="E5" s="17">
        <f>SUM(E6:E12)</f>
        <v>424.60183269577306</v>
      </c>
      <c r="F5" s="17">
        <f>SUM(F6:F12)</f>
        <v>6629.0292412244253</v>
      </c>
      <c r="G5" s="18"/>
      <c r="H5" s="17"/>
      <c r="I5" s="17"/>
      <c r="J5" s="17">
        <f>SUM(J6:J12)</f>
        <v>0</v>
      </c>
      <c r="K5" s="17"/>
      <c r="L5" s="17"/>
      <c r="M5" s="17"/>
      <c r="N5" s="17">
        <f>SUM(N6:N12)</f>
        <v>4586.2263355221012</v>
      </c>
      <c r="O5" s="17">
        <f>B38*B39*B40</f>
        <v>4.6900000000000004</v>
      </c>
      <c r="P5" s="17">
        <f>B46*B47*B48/1000-B46*B47*B48/1000/B49</f>
        <v>38.133333333333333</v>
      </c>
      <c r="R5" s="32"/>
    </row>
    <row r="6" spans="1:18">
      <c r="A6" s="32" t="s">
        <v>54</v>
      </c>
      <c r="B6" s="37">
        <f>B26</f>
        <v>13455.481877906976</v>
      </c>
      <c r="C6" s="33"/>
      <c r="D6" s="37">
        <f>IF(ISERROR(TER_kantoor_gas_kWh/1000),0,TER_kantoor_gas_kWh/1000)*0.902</f>
        <v>7325.5055060000004</v>
      </c>
      <c r="E6" s="33">
        <f>$C$26*'E Balans VL '!I12/100/3.6*1000000</f>
        <v>38.982505199414824</v>
      </c>
      <c r="F6" s="33">
        <f>$C$26*('E Balans VL '!L12+'E Balans VL '!N12)/100/3.6*1000000</f>
        <v>1522.8641013290489</v>
      </c>
      <c r="G6" s="34"/>
      <c r="H6" s="33"/>
      <c r="I6" s="33"/>
      <c r="J6" s="33">
        <f>$C$26*('E Balans VL '!D12+'E Balans VL '!E12)/100/3.6*1000000</f>
        <v>0</v>
      </c>
      <c r="K6" s="33"/>
      <c r="L6" s="33"/>
      <c r="M6" s="33"/>
      <c r="N6" s="33">
        <f>$C$26*'E Balans VL '!Y12/100/3.6*1000000</f>
        <v>134.67945915613359</v>
      </c>
      <c r="O6" s="33"/>
      <c r="P6" s="33"/>
      <c r="R6" s="32"/>
    </row>
    <row r="7" spans="1:18">
      <c r="A7" s="32" t="s">
        <v>53</v>
      </c>
      <c r="B7" s="37">
        <f t="shared" ref="B7:B12" si="0">B27</f>
        <v>4457.7030000000004</v>
      </c>
      <c r="C7" s="33"/>
      <c r="D7" s="37">
        <f>IF(ISERROR(TER_horeca_gas_kWh/1000),0,TER_horeca_gas_kWh/1000)*0.902</f>
        <v>3727.9389400000005</v>
      </c>
      <c r="E7" s="33">
        <f>$C$27*'E Balans VL '!I9/100/3.6*1000000</f>
        <v>187.12191736396815</v>
      </c>
      <c r="F7" s="33">
        <f>$C$27*('E Balans VL '!L9+'E Balans VL '!N9)/100/3.6*1000000</f>
        <v>957.82890335963691</v>
      </c>
      <c r="G7" s="34"/>
      <c r="H7" s="33"/>
      <c r="I7" s="33"/>
      <c r="J7" s="33">
        <f>$C$27*('E Balans VL '!D9+'E Balans VL '!E9)/100/3.6*1000000</f>
        <v>0</v>
      </c>
      <c r="K7" s="33"/>
      <c r="L7" s="33"/>
      <c r="M7" s="33"/>
      <c r="N7" s="33">
        <f>$C$27*'E Balans VL '!Y9/100/3.6*1000000</f>
        <v>1.1487110790730291</v>
      </c>
      <c r="O7" s="33"/>
      <c r="P7" s="33"/>
      <c r="R7" s="32"/>
    </row>
    <row r="8" spans="1:18">
      <c r="A8" s="6" t="s">
        <v>52</v>
      </c>
      <c r="B8" s="37">
        <f t="shared" si="0"/>
        <v>16235.204</v>
      </c>
      <c r="C8" s="33"/>
      <c r="D8" s="37">
        <f>IF(ISERROR(TER_handel_gas_kWh/1000),0,TER_handel_gas_kWh/1000)*0.902</f>
        <v>7843.1912680000005</v>
      </c>
      <c r="E8" s="33">
        <f>$C$28*'E Balans VL '!I13/100/3.6*1000000</f>
        <v>174.3796031361841</v>
      </c>
      <c r="F8" s="33">
        <f>$C$28*('E Balans VL '!L13+'E Balans VL '!N13)/100/3.6*1000000</f>
        <v>2101.7812253508569</v>
      </c>
      <c r="G8" s="34"/>
      <c r="H8" s="33"/>
      <c r="I8" s="33"/>
      <c r="J8" s="33">
        <f>$C$28*('E Balans VL '!D13+'E Balans VL '!E13)/100/3.6*1000000</f>
        <v>0</v>
      </c>
      <c r="K8" s="33"/>
      <c r="L8" s="33"/>
      <c r="M8" s="33"/>
      <c r="N8" s="33">
        <f>$C$28*'E Balans VL '!Y13/100/3.6*1000000</f>
        <v>131.70086132868215</v>
      </c>
      <c r="O8" s="33"/>
      <c r="P8" s="33"/>
      <c r="R8" s="32"/>
    </row>
    <row r="9" spans="1:18">
      <c r="A9" s="32" t="s">
        <v>51</v>
      </c>
      <c r="B9" s="37">
        <f t="shared" si="0"/>
        <v>2990.623</v>
      </c>
      <c r="C9" s="33"/>
      <c r="D9" s="37">
        <f>IF(ISERROR(TER_gezond_gas_kWh/1000),0,TER_gezond_gas_kWh/1000)*0.902</f>
        <v>2868.326626</v>
      </c>
      <c r="E9" s="33">
        <f>$C$29*'E Balans VL '!I10/100/3.6*1000000</f>
        <v>2.3807293363135424</v>
      </c>
      <c r="F9" s="33">
        <f>$C$29*('E Balans VL '!L10+'E Balans VL '!N10)/100/3.6*1000000</f>
        <v>363.55344404504837</v>
      </c>
      <c r="G9" s="34"/>
      <c r="H9" s="33"/>
      <c r="I9" s="33"/>
      <c r="J9" s="33">
        <f>$C$29*('E Balans VL '!D10+'E Balans VL '!E10)/100/3.6*1000000</f>
        <v>0</v>
      </c>
      <c r="K9" s="33"/>
      <c r="L9" s="33"/>
      <c r="M9" s="33"/>
      <c r="N9" s="33">
        <f>$C$29*'E Balans VL '!Y10/100/3.6*1000000</f>
        <v>24.157460280494085</v>
      </c>
      <c r="O9" s="33"/>
      <c r="P9" s="33"/>
      <c r="R9" s="32"/>
    </row>
    <row r="10" spans="1:18">
      <c r="A10" s="32" t="s">
        <v>50</v>
      </c>
      <c r="B10" s="37">
        <f t="shared" si="0"/>
        <v>6094.951</v>
      </c>
      <c r="C10" s="33"/>
      <c r="D10" s="37">
        <f>IF(ISERROR(TER_ander_gas_kWh/1000),0,TER_ander_gas_kWh/1000)*0.902</f>
        <v>3723.4136060000005</v>
      </c>
      <c r="E10" s="33">
        <f>$C$30*'E Balans VL '!I14/100/3.6*1000000</f>
        <v>20.887717264681978</v>
      </c>
      <c r="F10" s="33">
        <f>$C$30*('E Balans VL '!L14+'E Balans VL '!N14)/100/3.6*1000000</f>
        <v>1361.3643837659765</v>
      </c>
      <c r="G10" s="34"/>
      <c r="H10" s="33"/>
      <c r="I10" s="33"/>
      <c r="J10" s="33">
        <f>$C$30*('E Balans VL '!D14+'E Balans VL '!E14)/100/3.6*1000000</f>
        <v>0</v>
      </c>
      <c r="K10" s="33"/>
      <c r="L10" s="33"/>
      <c r="M10" s="33"/>
      <c r="N10" s="33">
        <f>$C$30*'E Balans VL '!Y14/100/3.6*1000000</f>
        <v>4293.3167804664654</v>
      </c>
      <c r="O10" s="33"/>
      <c r="P10" s="33"/>
      <c r="R10" s="32"/>
    </row>
    <row r="11" spans="1:18">
      <c r="A11" s="32" t="s">
        <v>55</v>
      </c>
      <c r="B11" s="37">
        <f t="shared" si="0"/>
        <v>1228.6969999999999</v>
      </c>
      <c r="C11" s="33"/>
      <c r="D11" s="37">
        <f>IF(ISERROR(TER_onderwijs_gas_kWh/1000),0,TER_onderwijs_gas_kWh/1000)*0.902</f>
        <v>2928.9635760000001</v>
      </c>
      <c r="E11" s="33">
        <f>$C$31*'E Balans VL '!I11/100/3.6*1000000</f>
        <v>0.84936039521052509</v>
      </c>
      <c r="F11" s="33">
        <f>$C$31*('E Balans VL '!L11+'E Balans VL '!N11)/100/3.6*1000000</f>
        <v>321.63718337385779</v>
      </c>
      <c r="G11" s="34"/>
      <c r="H11" s="33"/>
      <c r="I11" s="33"/>
      <c r="J11" s="33">
        <f>$C$31*('E Balans VL '!D11+'E Balans VL '!E11)/100/3.6*1000000</f>
        <v>0</v>
      </c>
      <c r="K11" s="33"/>
      <c r="L11" s="33"/>
      <c r="M11" s="33"/>
      <c r="N11" s="33">
        <f>$C$31*'E Balans VL '!Y11/100/3.6*1000000</f>
        <v>1.2230632112532795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45</v>
      </c>
      <c r="C13" s="247">
        <f ca="1">'lokale energieproductie'!O90+'lokale energieproductie'!O59</f>
        <v>64.285714285714292</v>
      </c>
      <c r="D13" s="310">
        <f ca="1">('lokale energieproductie'!P59+'lokale energieproductie'!P90)*(-1)</f>
        <v>-128.57142857142858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44507.659877906975</v>
      </c>
      <c r="C16" s="21">
        <f t="shared" ca="1" si="1"/>
        <v>64.285714285714292</v>
      </c>
      <c r="D16" s="21">
        <f t="shared" ca="1" si="1"/>
        <v>28288.768093428582</v>
      </c>
      <c r="E16" s="21">
        <f t="shared" si="1"/>
        <v>424.60183269577306</v>
      </c>
      <c r="F16" s="21">
        <f t="shared" ca="1" si="1"/>
        <v>6629.0292412244253</v>
      </c>
      <c r="G16" s="21">
        <f t="shared" si="1"/>
        <v>0</v>
      </c>
      <c r="H16" s="21">
        <f t="shared" si="1"/>
        <v>0</v>
      </c>
      <c r="I16" s="21">
        <f t="shared" si="1"/>
        <v>0</v>
      </c>
      <c r="J16" s="21">
        <f t="shared" si="1"/>
        <v>0</v>
      </c>
      <c r="K16" s="21">
        <f t="shared" si="1"/>
        <v>0</v>
      </c>
      <c r="L16" s="21">
        <f t="shared" ca="1" si="1"/>
        <v>0</v>
      </c>
      <c r="M16" s="21">
        <f t="shared" si="1"/>
        <v>0</v>
      </c>
      <c r="N16" s="21">
        <f t="shared" ca="1" si="1"/>
        <v>4586.2263355221012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0.16346889910060722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7275.6181617857192</v>
      </c>
      <c r="C20" s="23">
        <f t="shared" ref="C20:P20" ca="1" si="2">C16*C18</f>
        <v>15.277310924369752</v>
      </c>
      <c r="D20" s="23">
        <f t="shared" ca="1" si="2"/>
        <v>5714.3311548725742</v>
      </c>
      <c r="E20" s="23">
        <f t="shared" si="2"/>
        <v>96.384616021940488</v>
      </c>
      <c r="F20" s="23">
        <f t="shared" ca="1" si="2"/>
        <v>1769.9508074069217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13455.481877906976</v>
      </c>
      <c r="C26" s="39">
        <f>IF(ISERROR(B26*3.6/1000000/'E Balans VL '!Z12*100),0,B26*3.6/1000000/'E Balans VL '!Z12*100)</f>
        <v>0.29556521554302206</v>
      </c>
      <c r="D26" s="237" t="s">
        <v>692</v>
      </c>
      <c r="F26" s="6"/>
    </row>
    <row r="27" spans="1:18">
      <c r="A27" s="231" t="s">
        <v>53</v>
      </c>
      <c r="B27" s="33">
        <f>IF(ISERROR(TER_horeca_ele_kWh/1000),0,TER_horeca_ele_kWh/1000)</f>
        <v>4457.7030000000004</v>
      </c>
      <c r="C27" s="39">
        <f>IF(ISERROR(B27*3.6/1000000/'E Balans VL '!Z9*100),0,B27*3.6/1000000/'E Balans VL '!Z9*100)</f>
        <v>0.35822087095832822</v>
      </c>
      <c r="D27" s="237" t="s">
        <v>692</v>
      </c>
      <c r="F27" s="6"/>
    </row>
    <row r="28" spans="1:18">
      <c r="A28" s="171" t="s">
        <v>52</v>
      </c>
      <c r="B28" s="33">
        <f>IF(ISERROR(TER_handel_ele_kWh/1000),0,TER_handel_ele_kWh/1000)</f>
        <v>16235.204</v>
      </c>
      <c r="C28" s="39">
        <f>IF(ISERROR(B28*3.6/1000000/'E Balans VL '!Z13*100),0,B28*3.6/1000000/'E Balans VL '!Z13*100)</f>
        <v>0.48006364012833924</v>
      </c>
      <c r="D28" s="237" t="s">
        <v>692</v>
      </c>
      <c r="F28" s="6"/>
    </row>
    <row r="29" spans="1:18">
      <c r="A29" s="231" t="s">
        <v>51</v>
      </c>
      <c r="B29" s="33">
        <f>IF(ISERROR(TER_gezond_ele_kWh/1000),0,TER_gezond_ele_kWh/1000)</f>
        <v>2990.623</v>
      </c>
      <c r="C29" s="39">
        <f>IF(ISERROR(B29*3.6/1000000/'E Balans VL '!Z10*100),0,B29*3.6/1000000/'E Balans VL '!Z10*100)</f>
        <v>0.33696600102031393</v>
      </c>
      <c r="D29" s="237" t="s">
        <v>692</v>
      </c>
      <c r="F29" s="6"/>
    </row>
    <row r="30" spans="1:18">
      <c r="A30" s="231" t="s">
        <v>50</v>
      </c>
      <c r="B30" s="33">
        <f>IF(ISERROR(TER_ander_ele_kWh/1000),0,TER_ander_ele_kWh/1000)</f>
        <v>6094.951</v>
      </c>
      <c r="C30" s="39">
        <f>IF(ISERROR(B30*3.6/1000000/'E Balans VL '!Z14*100),0,B30*3.6/1000000/'E Balans VL '!Z14*100)</f>
        <v>0.46095072528188552</v>
      </c>
      <c r="D30" s="237" t="s">
        <v>692</v>
      </c>
      <c r="F30" s="6"/>
    </row>
    <row r="31" spans="1:18">
      <c r="A31" s="231" t="s">
        <v>55</v>
      </c>
      <c r="B31" s="33">
        <f>IF(ISERROR(TER_onderwijs_ele_kWh/1000),0,TER_onderwijs_ele_kWh/1000)</f>
        <v>1228.6969999999999</v>
      </c>
      <c r="C31" s="39">
        <f>IF(ISERROR(B31*3.6/1000000/'E Balans VL '!Z11*100),0,B31*3.6/1000000/'E Balans VL '!Z11*100)</f>
        <v>0.25504897422364847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36906.575000000004</v>
      </c>
      <c r="C5" s="17">
        <f>IF(ISERROR('Eigen informatie GS &amp; warmtenet'!B59),0,'Eigen informatie GS &amp; warmtenet'!B59)</f>
        <v>0</v>
      </c>
      <c r="D5" s="30">
        <f>SUM(D6:D15)</f>
        <v>34220.855327999998</v>
      </c>
      <c r="E5" s="17">
        <f>SUM(E6:E15)</f>
        <v>1268.5082856794784</v>
      </c>
      <c r="F5" s="17">
        <f>SUM(F6:F15)</f>
        <v>17603.050679248514</v>
      </c>
      <c r="G5" s="18"/>
      <c r="H5" s="17"/>
      <c r="I5" s="17"/>
      <c r="J5" s="17">
        <f>SUM(J6:J15)</f>
        <v>165.29066478233682</v>
      </c>
      <c r="K5" s="17"/>
      <c r="L5" s="17"/>
      <c r="M5" s="17"/>
      <c r="N5" s="17">
        <f>SUM(N6:N15)</f>
        <v>12519.913436072868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4165.9390000000003</v>
      </c>
      <c r="C8" s="33"/>
      <c r="D8" s="37">
        <f>IF( ISERROR(IND_metaal_Gas_kWH/1000),0,IND_metaal_Gas_kWH/1000)*0.902</f>
        <v>9299.204178</v>
      </c>
      <c r="E8" s="33">
        <f>C30*'E Balans VL '!I18/100/3.6*1000000</f>
        <v>104.2588726958663</v>
      </c>
      <c r="F8" s="33">
        <f>C30*'E Balans VL '!L18/100/3.6*1000000+C30*'E Balans VL '!N18/100/3.6*1000000</f>
        <v>1305.6260050462995</v>
      </c>
      <c r="G8" s="34"/>
      <c r="H8" s="33"/>
      <c r="I8" s="33"/>
      <c r="J8" s="40">
        <f>C30*'E Balans VL '!D18/100/3.6*1000000+C30*'E Balans VL '!E18/100/3.6*1000000</f>
        <v>0</v>
      </c>
      <c r="K8" s="33"/>
      <c r="L8" s="33"/>
      <c r="M8" s="33"/>
      <c r="N8" s="33">
        <f>C30*'E Balans VL '!Y18/100/3.6*1000000</f>
        <v>104.65919923447981</v>
      </c>
      <c r="O8" s="33"/>
      <c r="P8" s="33"/>
      <c r="R8" s="32"/>
    </row>
    <row r="9" spans="1:18">
      <c r="A9" s="6" t="s">
        <v>33</v>
      </c>
      <c r="B9" s="37">
        <f t="shared" si="0"/>
        <v>3762.0149999999999</v>
      </c>
      <c r="C9" s="33"/>
      <c r="D9" s="37">
        <f>IF( ISERROR(IND_andere_gas_kWh/1000),0,IND_andere_gas_kWh/1000)*0.902</f>
        <v>4477.2492819999998</v>
      </c>
      <c r="E9" s="33">
        <f>C31*'E Balans VL '!I19/100/3.6*1000000</f>
        <v>1034.3998257456287</v>
      </c>
      <c r="F9" s="33">
        <f>C31*'E Balans VL '!L19/100/3.6*1000000+C31*'E Balans VL '!N19/100/3.6*1000000</f>
        <v>2965.1224576116451</v>
      </c>
      <c r="G9" s="34"/>
      <c r="H9" s="33"/>
      <c r="I9" s="33"/>
      <c r="J9" s="40">
        <f>C31*'E Balans VL '!D19/100/3.6*1000000+C31*'E Balans VL '!E19/100/3.6*1000000</f>
        <v>0</v>
      </c>
      <c r="K9" s="33"/>
      <c r="L9" s="33"/>
      <c r="M9" s="33"/>
      <c r="N9" s="33">
        <f>C31*'E Balans VL '!Y19/100/3.6*1000000</f>
        <v>1217.8635560791256</v>
      </c>
      <c r="O9" s="33"/>
      <c r="P9" s="33"/>
      <c r="R9" s="32"/>
    </row>
    <row r="10" spans="1:18">
      <c r="A10" s="6" t="s">
        <v>41</v>
      </c>
      <c r="B10" s="37">
        <f t="shared" si="0"/>
        <v>6807.63</v>
      </c>
      <c r="C10" s="33"/>
      <c r="D10" s="37">
        <f>IF( ISERROR(IND_voed_gas_kWh/1000),0,IND_voed_gas_kWh/1000)*0.902</f>
        <v>5274.8355659999997</v>
      </c>
      <c r="E10" s="33">
        <f>C32*'E Balans VL '!I20/100/3.6*1000000</f>
        <v>69.400037505233442</v>
      </c>
      <c r="F10" s="33">
        <f>C32*'E Balans VL '!L20/100/3.6*1000000+C32*'E Balans VL '!N20/100/3.6*1000000</f>
        <v>12859.570492384406</v>
      </c>
      <c r="G10" s="34"/>
      <c r="H10" s="33"/>
      <c r="I10" s="33"/>
      <c r="J10" s="40">
        <f>C32*'E Balans VL '!D20/100/3.6*1000000+C32*'E Balans VL '!E20/100/3.6*1000000</f>
        <v>162.92886056620628</v>
      </c>
      <c r="K10" s="33"/>
      <c r="L10" s="33"/>
      <c r="M10" s="33"/>
      <c r="N10" s="33">
        <f>C32*'E Balans VL '!Y20/100/3.6*1000000</f>
        <v>3588.405152821611</v>
      </c>
      <c r="O10" s="33"/>
      <c r="P10" s="33"/>
      <c r="R10" s="32"/>
    </row>
    <row r="11" spans="1:18">
      <c r="A11" s="6" t="s">
        <v>40</v>
      </c>
      <c r="B11" s="37">
        <f t="shared" si="0"/>
        <v>273.798</v>
      </c>
      <c r="C11" s="33"/>
      <c r="D11" s="37">
        <f>IF( ISERROR(IND_textiel_gas_kWh/1000),0,IND_textiel_gas_kWh/1000)*0.902</f>
        <v>0</v>
      </c>
      <c r="E11" s="33">
        <f>C33*'E Balans VL '!I21/100/3.6*1000000</f>
        <v>0.72569864677373253</v>
      </c>
      <c r="F11" s="33">
        <f>C33*'E Balans VL '!L21/100/3.6*1000000+C33*'E Balans VL '!N21/100/3.6*1000000</f>
        <v>12.228101123668313</v>
      </c>
      <c r="G11" s="34"/>
      <c r="H11" s="33"/>
      <c r="I11" s="33"/>
      <c r="J11" s="40">
        <f>C33*'E Balans VL '!D21/100/3.6*1000000+C33*'E Balans VL '!E21/100/3.6*1000000</f>
        <v>0</v>
      </c>
      <c r="K11" s="33"/>
      <c r="L11" s="33"/>
      <c r="M11" s="33"/>
      <c r="N11" s="33">
        <f>C33*'E Balans VL '!Y21/100/3.6*1000000</f>
        <v>2.5803504276597842</v>
      </c>
      <c r="O11" s="33"/>
      <c r="P11" s="33"/>
      <c r="R11" s="32"/>
    </row>
    <row r="12" spans="1:18">
      <c r="A12" s="6" t="s">
        <v>37</v>
      </c>
      <c r="B12" s="37">
        <f t="shared" si="0"/>
        <v>1093.1369999999999</v>
      </c>
      <c r="C12" s="33"/>
      <c r="D12" s="37">
        <f>IF( ISERROR(IND_min_gas_kWh/1000),0,IND_min_gas_kWh/1000)*0.902</f>
        <v>265.32781</v>
      </c>
      <c r="E12" s="33">
        <f>C34*'E Balans VL '!I22/100/3.6*1000000</f>
        <v>3.3106174892720213</v>
      </c>
      <c r="F12" s="33">
        <f>C34*'E Balans VL '!L22/100/3.6*1000000+C34*'E Balans VL '!N22/100/3.6*1000000</f>
        <v>34.161471059346624</v>
      </c>
      <c r="G12" s="34"/>
      <c r="H12" s="33"/>
      <c r="I12" s="33"/>
      <c r="J12" s="40">
        <f>C34*'E Balans VL '!D22/100/3.6*1000000+C34*'E Balans VL '!E22/100/3.6*1000000</f>
        <v>1.6208795070902369</v>
      </c>
      <c r="K12" s="33"/>
      <c r="L12" s="33"/>
      <c r="M12" s="33"/>
      <c r="N12" s="33">
        <f>C34*'E Balans VL '!Y22/100/3.6*1000000</f>
        <v>0</v>
      </c>
      <c r="O12" s="33"/>
      <c r="P12" s="33"/>
      <c r="R12" s="32"/>
    </row>
    <row r="13" spans="1:18">
      <c r="A13" s="6" t="s">
        <v>39</v>
      </c>
      <c r="B13" s="37">
        <f t="shared" si="0"/>
        <v>17821.981</v>
      </c>
      <c r="C13" s="33"/>
      <c r="D13" s="37">
        <f>IF( ISERROR(IND_papier_gas_kWh/1000),0,IND_papier_gas_kWh/1000)*0.902</f>
        <v>12749.93687</v>
      </c>
      <c r="E13" s="33">
        <f>C35*'E Balans VL '!I23/100/3.6*1000000</f>
        <v>36.910525605750856</v>
      </c>
      <c r="F13" s="33">
        <f>C35*'E Balans VL '!L23/100/3.6*1000000+C35*'E Balans VL '!N23/100/3.6*1000000</f>
        <v>353.44809052051863</v>
      </c>
      <c r="G13" s="34"/>
      <c r="H13" s="33"/>
      <c r="I13" s="33"/>
      <c r="J13" s="40">
        <f>C35*'E Balans VL '!D23/100/3.6*1000000+C35*'E Balans VL '!E23/100/3.6*1000000</f>
        <v>0</v>
      </c>
      <c r="K13" s="33"/>
      <c r="L13" s="33"/>
      <c r="M13" s="33"/>
      <c r="N13" s="33">
        <f>C35*'E Balans VL '!Y23/100/3.6*1000000</f>
        <v>7525.293494692186</v>
      </c>
      <c r="O13" s="33"/>
      <c r="P13" s="33"/>
      <c r="R13" s="32"/>
    </row>
    <row r="14" spans="1:18">
      <c r="A14" s="6" t="s">
        <v>34</v>
      </c>
      <c r="B14" s="37">
        <f t="shared" si="0"/>
        <v>2805.4679999999998</v>
      </c>
      <c r="C14" s="33"/>
      <c r="D14" s="37">
        <f>IF( ISERROR(IND_chemie_gas_kWh/1000),0,IND_chemie_gas_kWh/1000)*0.902</f>
        <v>765.12059800000009</v>
      </c>
      <c r="E14" s="33">
        <f>C36*'E Balans VL '!I24/100/3.6*1000000</f>
        <v>10.518160591622541</v>
      </c>
      <c r="F14" s="33">
        <f>C36*'E Balans VL '!L24/100/3.6*1000000+C36*'E Balans VL '!N24/100/3.6*1000000</f>
        <v>32.63868150287346</v>
      </c>
      <c r="G14" s="34"/>
      <c r="H14" s="33"/>
      <c r="I14" s="33"/>
      <c r="J14" s="40">
        <f>C36*'E Balans VL '!D24/100/3.6*1000000+C36*'E Balans VL '!E24/100/3.6*1000000</f>
        <v>0</v>
      </c>
      <c r="K14" s="33"/>
      <c r="L14" s="33"/>
      <c r="M14" s="33"/>
      <c r="N14" s="33">
        <f>C36*'E Balans VL '!Y24/100/3.6*1000000</f>
        <v>47.93007438118169</v>
      </c>
      <c r="O14" s="33"/>
      <c r="P14" s="33"/>
      <c r="R14" s="32"/>
    </row>
    <row r="15" spans="1:18">
      <c r="A15" s="6" t="s">
        <v>270</v>
      </c>
      <c r="B15" s="37">
        <f t="shared" si="0"/>
        <v>176.607</v>
      </c>
      <c r="C15" s="33"/>
      <c r="D15" s="37">
        <f>IF( ISERROR(IND_rest_gas_kWh/1000),0,IND_rest_gas_kWh/1000)*0.902</f>
        <v>1389.1810240000002</v>
      </c>
      <c r="E15" s="33">
        <f>C37*'E Balans VL '!I15/100/3.6*1000000</f>
        <v>8.9845473993306957</v>
      </c>
      <c r="F15" s="33">
        <f>C37*'E Balans VL '!L15/100/3.6*1000000+C37*'E Balans VL '!N15/100/3.6*1000000</f>
        <v>40.255379999753252</v>
      </c>
      <c r="G15" s="34"/>
      <c r="H15" s="33"/>
      <c r="I15" s="33"/>
      <c r="J15" s="40">
        <f>C37*'E Balans VL '!D15/100/3.6*1000000+C37*'E Balans VL '!E15/100/3.6*1000000</f>
        <v>0.74092470904030172</v>
      </c>
      <c r="K15" s="33"/>
      <c r="L15" s="33"/>
      <c r="M15" s="33"/>
      <c r="N15" s="33">
        <f>C37*'E Balans VL '!Y15/100/3.6*1000000</f>
        <v>33.181608436623414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36906.575000000004</v>
      </c>
      <c r="C18" s="21">
        <f>C5+C16</f>
        <v>0</v>
      </c>
      <c r="D18" s="21">
        <f>MAX((D5+D16),0)</f>
        <v>34220.855327999998</v>
      </c>
      <c r="E18" s="21">
        <f>MAX((E5+E16),0)</f>
        <v>1268.5082856794784</v>
      </c>
      <c r="F18" s="21">
        <f>MAX((F5+F16),0)</f>
        <v>17603.050679248514</v>
      </c>
      <c r="G18" s="21"/>
      <c r="H18" s="21"/>
      <c r="I18" s="21"/>
      <c r="J18" s="21">
        <f>MAX((J5+J16),0)</f>
        <v>165.29066478233682</v>
      </c>
      <c r="K18" s="21"/>
      <c r="L18" s="21">
        <f>MAX((L5+L16),0)</f>
        <v>0</v>
      </c>
      <c r="M18" s="21"/>
      <c r="N18" s="21">
        <f>MAX((N5+N16),0)</f>
        <v>12519.913436072868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0.16346889910060722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6033.0771848239938</v>
      </c>
      <c r="C22" s="23">
        <f ca="1">C18*C20</f>
        <v>0</v>
      </c>
      <c r="D22" s="23">
        <f>D18*D20</f>
        <v>6912.612776256</v>
      </c>
      <c r="E22" s="23">
        <f>E18*E20</f>
        <v>287.95138084924162</v>
      </c>
      <c r="F22" s="23">
        <f>F18*F20</f>
        <v>4700.0145313593539</v>
      </c>
      <c r="G22" s="23"/>
      <c r="H22" s="23"/>
      <c r="I22" s="23"/>
      <c r="J22" s="23">
        <f>J18*J20</f>
        <v>58.512895332947231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4165.9390000000003</v>
      </c>
      <c r="C30" s="39">
        <f>IF(ISERROR(B30*3.6/1000000/'E Balans VL '!Z18*100),0,B30*3.6/1000000/'E Balans VL '!Z18*100)</f>
        <v>0.58309262854911159</v>
      </c>
      <c r="D30" s="237" t="s">
        <v>692</v>
      </c>
    </row>
    <row r="31" spans="1:18">
      <c r="A31" s="6" t="s">
        <v>33</v>
      </c>
      <c r="B31" s="37">
        <f>IF( ISERROR(IND_ander_ele_kWh/1000),0,IND_ander_ele_kWh/1000)</f>
        <v>3762.0149999999999</v>
      </c>
      <c r="C31" s="39">
        <f>IF(ISERROR(B31*3.6/1000000/'E Balans VL '!Z19*100),0,B31*3.6/1000000/'E Balans VL '!Z19*100)</f>
        <v>0.16466278626446107</v>
      </c>
      <c r="D31" s="237" t="s">
        <v>692</v>
      </c>
    </row>
    <row r="32" spans="1:18">
      <c r="A32" s="171" t="s">
        <v>41</v>
      </c>
      <c r="B32" s="37">
        <f>IF( ISERROR(IND_voed_ele_kWh/1000),0,IND_voed_ele_kWh/1000)</f>
        <v>6807.63</v>
      </c>
      <c r="C32" s="39">
        <f>IF(ISERROR(B32*3.6/1000000/'E Balans VL '!Z20*100),0,B32*3.6/1000000/'E Balans VL '!Z20*100)</f>
        <v>1.6853431177587233</v>
      </c>
      <c r="D32" s="237" t="s">
        <v>692</v>
      </c>
    </row>
    <row r="33" spans="1:5">
      <c r="A33" s="171" t="s">
        <v>40</v>
      </c>
      <c r="B33" s="37">
        <f>IF( ISERROR(IND_textiel_ele_kWh/1000),0,IND_textiel_ele_kWh/1000)</f>
        <v>273.798</v>
      </c>
      <c r="C33" s="39">
        <f>IF(ISERROR(B33*3.6/1000000/'E Balans VL '!Z21*100),0,B33*3.6/1000000/'E Balans VL '!Z21*100)</f>
        <v>3.0852211603795629E-2</v>
      </c>
      <c r="D33" s="237" t="s">
        <v>692</v>
      </c>
    </row>
    <row r="34" spans="1:5">
      <c r="A34" s="171" t="s">
        <v>37</v>
      </c>
      <c r="B34" s="37">
        <f>IF( ISERROR(IND_min_ele_kWh/1000),0,IND_min_ele_kWh/1000)</f>
        <v>1093.1369999999999</v>
      </c>
      <c r="C34" s="39">
        <f>IF(ISERROR(B34*3.6/1000000/'E Balans VL '!Z22*100),0,B34*3.6/1000000/'E Balans VL '!Z22*100)</f>
        <v>3.1018768300727338E-2</v>
      </c>
      <c r="D34" s="237" t="s">
        <v>692</v>
      </c>
    </row>
    <row r="35" spans="1:5">
      <c r="A35" s="171" t="s">
        <v>39</v>
      </c>
      <c r="B35" s="37">
        <f>IF( ISERROR(IND_papier_ele_kWh/1000),0,IND_papier_ele_kWh/1000)</f>
        <v>17821.981</v>
      </c>
      <c r="C35" s="39">
        <f>IF(ISERROR(B35*3.6/1000000/'E Balans VL '!Z22*100),0,B35*3.6/1000000/'E Balans VL '!Z22*100)</f>
        <v>0.50571511100526723</v>
      </c>
      <c r="D35" s="237" t="s">
        <v>692</v>
      </c>
    </row>
    <row r="36" spans="1:5">
      <c r="A36" s="171" t="s">
        <v>34</v>
      </c>
      <c r="B36" s="37">
        <f>IF( ISERROR(IND_chemie_ele_kWh/1000),0,IND_chemie_ele_kWh/1000)</f>
        <v>2805.4679999999998</v>
      </c>
      <c r="C36" s="39">
        <f>IF(ISERROR(B36*3.6/1000000/'E Balans VL '!Z24*100),0,B36*3.6/1000000/'E Balans VL '!Z24*100)</f>
        <v>7.1535151910616657E-2</v>
      </c>
      <c r="D36" s="237" t="s">
        <v>692</v>
      </c>
    </row>
    <row r="37" spans="1:5">
      <c r="A37" s="171" t="s">
        <v>270</v>
      </c>
      <c r="B37" s="37">
        <f>IF( ISERROR(IND_rest_ele_kWh/1000),0,IND_rest_ele_kWh/1000)</f>
        <v>176.607</v>
      </c>
      <c r="C37" s="39">
        <f>IF(ISERROR(B37*3.6/1000000/'E Balans VL '!Z15*100),0,B37*3.6/1000000/'E Balans VL '!Z15*100)</f>
        <v>1.3095106686021032E-3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637.42499999999995</v>
      </c>
      <c r="C5" s="17">
        <f>'Eigen informatie GS &amp; warmtenet'!B60</f>
        <v>0</v>
      </c>
      <c r="D5" s="30">
        <f>IF(ISERROR(SUM(LB_lb_gas_kWh,LB_rest_gas_kWh,onbekend_gas_kWh)/1000),0,SUM(LB_lb_gas_kWh,LB_rest_gas_kWh,onbekend_gas_kWh)/1000)*0.902</f>
        <v>480.02094799999998</v>
      </c>
      <c r="E5" s="17">
        <f>B17*'E Balans VL '!I25/3.6*1000000/100</f>
        <v>5.9040973281311429</v>
      </c>
      <c r="F5" s="17">
        <f>B17*('E Balans VL '!L25/3.6*1000000+'E Balans VL '!N25/3.6*1000000)/100</f>
        <v>1617.2686543378868</v>
      </c>
      <c r="G5" s="18"/>
      <c r="H5" s="17"/>
      <c r="I5" s="17"/>
      <c r="J5" s="17">
        <f>('E Balans VL '!D25+'E Balans VL '!E25)/3.6*1000000*landbouw!B17/100</f>
        <v>97.724366183761958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637.42499999999995</v>
      </c>
      <c r="C8" s="21">
        <f>C5+C6</f>
        <v>0</v>
      </c>
      <c r="D8" s="21">
        <f>MAX((D5+D6),0)</f>
        <v>480.02094799999998</v>
      </c>
      <c r="E8" s="21">
        <f>MAX((E5+E6),0)</f>
        <v>5.9040973281311429</v>
      </c>
      <c r="F8" s="21">
        <f>MAX((F5+F6),0)</f>
        <v>1617.2686543378868</v>
      </c>
      <c r="G8" s="21"/>
      <c r="H8" s="21"/>
      <c r="I8" s="21"/>
      <c r="J8" s="21">
        <f>MAX((J5+J6),0)</f>
        <v>97.724366183761958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0.16346889910060722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104.19916300920455</v>
      </c>
      <c r="C12" s="23">
        <f ca="1">C8*C10</f>
        <v>0</v>
      </c>
      <c r="D12" s="23">
        <f>D8*D10</f>
        <v>96.964231495999996</v>
      </c>
      <c r="E12" s="23">
        <f>E8*E10</f>
        <v>1.3402300934857694</v>
      </c>
      <c r="F12" s="23">
        <f>F8*F10</f>
        <v>431.81073070821583</v>
      </c>
      <c r="G12" s="23"/>
      <c r="H12" s="23"/>
      <c r="I12" s="23"/>
      <c r="J12" s="23">
        <f>J8*J10</f>
        <v>34.594425629051734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9.0628319253815842E-2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68.426659775810663</v>
      </c>
      <c r="C26" s="247">
        <f>B26*'GWP N2O_CH4'!B5</f>
        <v>1436.9598552920238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23.045003114088104</v>
      </c>
      <c r="C27" s="247">
        <f>B27*'GWP N2O_CH4'!B5</f>
        <v>483.94506539585018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0.91328591163801942</v>
      </c>
      <c r="C28" s="247">
        <f>B28*'GWP N2O_CH4'!B4</f>
        <v>283.11863260778603</v>
      </c>
      <c r="D28" s="50"/>
    </row>
    <row r="29" spans="1:4">
      <c r="A29" s="41" t="s">
        <v>277</v>
      </c>
      <c r="B29" s="247">
        <f>B34*'ha_N2O bodem landbouw'!B4</f>
        <v>13.30577216665465</v>
      </c>
      <c r="C29" s="247">
        <f>B29*'GWP N2O_CH4'!B4</f>
        <v>4124.7893716629414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2.9842502850627138E-3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1.3030828431099203E-4</v>
      </c>
      <c r="C5" s="464" t="s">
        <v>211</v>
      </c>
      <c r="D5" s="449">
        <f>SUM(D6:D11)</f>
        <v>3.7916986150120647E-4</v>
      </c>
      <c r="E5" s="449">
        <f>SUM(E6:E11)</f>
        <v>2.5591077657524742E-3</v>
      </c>
      <c r="F5" s="462" t="s">
        <v>211</v>
      </c>
      <c r="G5" s="449">
        <f>SUM(G6:G11)</f>
        <v>0.72102251492202551</v>
      </c>
      <c r="H5" s="449">
        <f>SUM(H6:H11)</f>
        <v>0.14427669690730954</v>
      </c>
      <c r="I5" s="464" t="s">
        <v>211</v>
      </c>
      <c r="J5" s="464" t="s">
        <v>211</v>
      </c>
      <c r="K5" s="464" t="s">
        <v>211</v>
      </c>
      <c r="L5" s="464" t="s">
        <v>211</v>
      </c>
      <c r="M5" s="449">
        <f>SUM(M6:M11)</f>
        <v>4.6149256114204125E-2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4.4694588837431982E-5</v>
      </c>
      <c r="C6" s="450"/>
      <c r="D6" s="963">
        <f>vkm_2011_GW_PW*SUMIFS(TableVerdeelsleutelVkm[CNG],TableVerdeelsleutelVkm[Voertuigtype],"Lichte voertuigen")*SUMIFS(TableECFTransport[EnergieConsumptieFactor (PJ per km)],TableECFTransport[Index],CONCATENATE($A6,"_CNG_CNG"))</f>
        <v>1.0338350465137394E-4</v>
      </c>
      <c r="E6" s="963">
        <f>vkm_2011_GW_PW*SUMIFS(TableVerdeelsleutelVkm[LPG],TableVerdeelsleutelVkm[Voertuigtype],"Lichte voertuigen")*SUMIFS(TableECFTransport[EnergieConsumptieFactor (PJ per km)],TableECFTransport[Index],CONCATENATE($A6,"_LPG_LPG"))</f>
        <v>6.7317095074003873E-4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0.13984628471585278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3.941977765157953E-2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9.3029793338277652E-3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3.9817917059270569E-2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1.3617004507211822E-5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2.3036922000751808E-3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4.090680142279004E-5</v>
      </c>
      <c r="C8" s="450"/>
      <c r="D8" s="452">
        <f>vkm_2011_NGW_PW*SUMIFS(TableVerdeelsleutelVkm[CNG],TableVerdeelsleutelVkm[Voertuigtype],"Lichte voertuigen")*SUMIFS(TableECFTransport[EnergieConsumptieFactor (PJ per km)],TableECFTransport[Index],CONCATENATE($A8,"_CNG_CNG"))</f>
        <v>1.6735855093439377E-4</v>
      </c>
      <c r="E8" s="452">
        <f>vkm_2011_NGW_PW*SUMIFS(TableVerdeelsleutelVkm[LPG],TableVerdeelsleutelVkm[Voertuigtype],"Lichte voertuigen")*SUMIFS(TableECFTransport[EnergieConsumptieFactor (PJ per km)],TableECFTransport[Index],CONCATENATE($A8,"_LPG_LPG"))</f>
        <v>1.0057146325727164E-3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0.19530830418593356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6.1702903913568974E-2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1.31971813170393E-2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2.5111316611430366E-2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8.1257295416486403E-6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1.4528177840943542E-3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4.470689405077001E-5</v>
      </c>
      <c r="C10" s="450"/>
      <c r="D10" s="452">
        <f>vkm_2011_SW_PW*SUMIFS(TableVerdeelsleutelVkm[CNG],TableVerdeelsleutelVkm[Voertuigtype],"Lichte voertuigen")*SUMIFS(TableECFTransport[EnergieConsumptieFactor (PJ per km)],TableECFTransport[Index],CONCATENATE($A10,"_CNG_CNG"))</f>
        <v>1.0842780591543878E-4</v>
      </c>
      <c r="E10" s="452">
        <f>vkm_2011_SW_PW*SUMIFS(TableVerdeelsleutelVkm[LPG],TableVerdeelsleutelVkm[Voertuigtype],"Lichte voertuigen")*SUMIFS(TableECFTransport[EnergieConsumptieFactor (PJ per km)],TableECFTransport[Index],CONCATENATE($A10,"_LPG_LPG"))</f>
        <v>8.8022218243971921E-4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0.16462682148235674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4.307466195130296E-2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1.0848929825564561E-2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0.1563118708671816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5.7610656809200797E-5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9.0436556536029663E-3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36.196745641942229</v>
      </c>
      <c r="C14" s="21"/>
      <c r="D14" s="21">
        <f t="shared" ref="D14:M14" si="0">((D5)*10^9/3600)+D12</f>
        <v>105.32496152811291</v>
      </c>
      <c r="E14" s="21">
        <f t="shared" si="0"/>
        <v>710.86326826457616</v>
      </c>
      <c r="F14" s="21"/>
      <c r="G14" s="21">
        <f t="shared" si="0"/>
        <v>200284.03192278487</v>
      </c>
      <c r="H14" s="21">
        <f t="shared" si="0"/>
        <v>40076.860252030427</v>
      </c>
      <c r="I14" s="21"/>
      <c r="J14" s="21"/>
      <c r="K14" s="21"/>
      <c r="L14" s="21"/>
      <c r="M14" s="21">
        <f t="shared" si="0"/>
        <v>12819.237809501146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0.16346889910060722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5.917042161112998</v>
      </c>
      <c r="C18" s="23"/>
      <c r="D18" s="23">
        <f t="shared" ref="D18:M18" si="1">D14*D16</f>
        <v>21.275642228678809</v>
      </c>
      <c r="E18" s="23">
        <f t="shared" si="1"/>
        <v>161.36596189605879</v>
      </c>
      <c r="F18" s="23"/>
      <c r="G18" s="23">
        <f t="shared" si="1"/>
        <v>53475.836523383565</v>
      </c>
      <c r="H18" s="23">
        <f t="shared" si="1"/>
        <v>9979.1382027555755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1.2365638011740515E-2</v>
      </c>
      <c r="H50" s="321">
        <f t="shared" si="2"/>
        <v>0</v>
      </c>
      <c r="I50" s="321">
        <f t="shared" si="2"/>
        <v>0</v>
      </c>
      <c r="J50" s="321">
        <f t="shared" si="2"/>
        <v>0</v>
      </c>
      <c r="K50" s="321">
        <f t="shared" si="2"/>
        <v>0</v>
      </c>
      <c r="L50" s="321">
        <f t="shared" si="2"/>
        <v>0</v>
      </c>
      <c r="M50" s="321">
        <f t="shared" si="2"/>
        <v>7.0517628802746512E-4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1.2365638011740515E-2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7.0517628802746512E-4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3434.8994477056985</v>
      </c>
      <c r="H54" s="21">
        <f t="shared" si="3"/>
        <v>0</v>
      </c>
      <c r="I54" s="21">
        <f t="shared" si="3"/>
        <v>0</v>
      </c>
      <c r="J54" s="21">
        <f t="shared" si="3"/>
        <v>0</v>
      </c>
      <c r="K54" s="21">
        <f t="shared" si="3"/>
        <v>0</v>
      </c>
      <c r="L54" s="21">
        <f t="shared" si="3"/>
        <v>0</v>
      </c>
      <c r="M54" s="21">
        <f t="shared" si="3"/>
        <v>195.88230222985143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0.16346889910060722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917.11815253742157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22337.24300659529</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18186.261163269544</v>
      </c>
      <c r="C6" s="1223"/>
      <c r="D6" s="1226"/>
      <c r="E6" s="1226"/>
      <c r="F6" s="1229"/>
      <c r="G6" s="1232"/>
      <c r="H6" s="1220"/>
      <c r="I6" s="1226"/>
      <c r="J6" s="1226"/>
      <c r="K6" s="1226"/>
      <c r="L6" s="1256"/>
      <c r="M6" s="576"/>
      <c r="N6" s="1268"/>
      <c r="O6" s="1269"/>
      <c r="Q6" s="574"/>
      <c r="R6" s="1253"/>
      <c r="S6" s="1253"/>
    </row>
    <row r="7" spans="1:19" s="564" customFormat="1">
      <c r="A7" s="577" t="s">
        <v>252</v>
      </c>
      <c r="B7" s="578">
        <f>N57</f>
        <v>45</v>
      </c>
      <c r="C7" s="579">
        <f>B100</f>
        <v>52.941176470588239</v>
      </c>
      <c r="D7" s="580"/>
      <c r="E7" s="580">
        <f>E100</f>
        <v>0</v>
      </c>
      <c r="F7" s="581"/>
      <c r="G7" s="582"/>
      <c r="H7" s="580">
        <f>I100</f>
        <v>0</v>
      </c>
      <c r="I7" s="580">
        <f>G100+F100</f>
        <v>0</v>
      </c>
      <c r="J7" s="580">
        <f>H100+D100+C100</f>
        <v>0</v>
      </c>
      <c r="K7" s="580"/>
      <c r="L7" s="583"/>
      <c r="M7" s="584">
        <f>C7*$C$11+D7*$D$11+E7*$E$11+F7*$F$11+G7*$G$11+H7*$H$11+I7*$I$11+J7*$J$11</f>
        <v>10.694117647058825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40568.504169864835</v>
      </c>
      <c r="C9" s="595">
        <f t="shared" ref="C9:L9" si="0">SUM(C7:C8)</f>
        <v>52.941176470588239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10.694117647058825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64.285714285714292</v>
      </c>
      <c r="C16" s="611">
        <f>B101</f>
        <v>75.630252100840352</v>
      </c>
      <c r="D16" s="612"/>
      <c r="E16" s="612">
        <f>E101</f>
        <v>0</v>
      </c>
      <c r="F16" s="613"/>
      <c r="G16" s="614"/>
      <c r="H16" s="611">
        <f>I101</f>
        <v>0</v>
      </c>
      <c r="I16" s="612">
        <f>G101+F101</f>
        <v>0</v>
      </c>
      <c r="J16" s="612">
        <f>H101+D101+C101</f>
        <v>0</v>
      </c>
      <c r="K16" s="612"/>
      <c r="L16" s="615"/>
      <c r="M16" s="616">
        <f>C16*$C$21+E16*$E$21+H16*$H$21+I16*$I$21+J16*$J$21+D16*$D$21+F16*$F$21+G16*$G$21+K16*$K$21+L16*$L$21</f>
        <v>15.277310924369752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64.285714285714292</v>
      </c>
      <c r="C19" s="594">
        <f>SUM(C16:C18)</f>
        <v>75.630252100840352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15.277310924369752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71004</v>
      </c>
      <c r="C27" s="852">
        <v>3583</v>
      </c>
      <c r="D27" s="673" t="s">
        <v>871</v>
      </c>
      <c r="E27" s="672" t="s">
        <v>872</v>
      </c>
      <c r="F27" s="672" t="s">
        <v>873</v>
      </c>
      <c r="G27" s="672" t="s">
        <v>874</v>
      </c>
      <c r="H27" s="672" t="s">
        <v>875</v>
      </c>
      <c r="I27" s="672" t="s">
        <v>872</v>
      </c>
      <c r="J27" s="851">
        <v>40118</v>
      </c>
      <c r="K27" s="851">
        <v>40148</v>
      </c>
      <c r="L27" s="672" t="s">
        <v>876</v>
      </c>
      <c r="M27" s="672">
        <v>10</v>
      </c>
      <c r="N27" s="672">
        <v>45</v>
      </c>
      <c r="O27" s="672">
        <v>64.285714285714292</v>
      </c>
      <c r="P27" s="672">
        <v>128.57142857142858</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v>
      </c>
      <c r="N57" s="630">
        <f>SUM(N27:N56)</f>
        <v>45</v>
      </c>
      <c r="O57" s="630">
        <f t="shared" ref="O57:W57" si="2">SUM(O27:O56)</f>
        <v>64.285714285714292</v>
      </c>
      <c r="P57" s="630">
        <f t="shared" si="2"/>
        <v>128.57142857142858</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10</v>
      </c>
      <c r="N59" s="630">
        <f ca="1">SUMIF($Z$27:AB56,"tertiair",N27:N56)</f>
        <v>45</v>
      </c>
      <c r="O59" s="630">
        <f ca="1">SUMIF($Z$27:AC56,"tertiair",O27:O56)</f>
        <v>64.285714285714292</v>
      </c>
      <c r="P59" s="630">
        <f ca="1">SUMIF($Z$27:AD56,"tertiair",P27:P56)</f>
        <v>128.57142857142858</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52.941176470588239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75.630252100840352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46453.937877906974</v>
      </c>
      <c r="D10" s="719">
        <f ca="1">tertiair!C16</f>
        <v>64.285714285714292</v>
      </c>
      <c r="E10" s="719">
        <f ca="1">tertiair!D16</f>
        <v>28288.768093428582</v>
      </c>
      <c r="F10" s="719">
        <f>tertiair!E16</f>
        <v>424.60183269577306</v>
      </c>
      <c r="G10" s="719">
        <f ca="1">tertiair!F16</f>
        <v>6629.0292412244253</v>
      </c>
      <c r="H10" s="719">
        <f>tertiair!G16</f>
        <v>0</v>
      </c>
      <c r="I10" s="719">
        <f>tertiair!H16</f>
        <v>0</v>
      </c>
      <c r="J10" s="719">
        <f>tertiair!I16</f>
        <v>0</v>
      </c>
      <c r="K10" s="719">
        <f>tertiair!J16</f>
        <v>0</v>
      </c>
      <c r="L10" s="719">
        <f>tertiair!K16</f>
        <v>0</v>
      </c>
      <c r="M10" s="719">
        <f ca="1">tertiair!L16</f>
        <v>0</v>
      </c>
      <c r="N10" s="719">
        <f>tertiair!M16</f>
        <v>0</v>
      </c>
      <c r="O10" s="719">
        <f ca="1">tertiair!N16</f>
        <v>4586.2263355221012</v>
      </c>
      <c r="P10" s="719">
        <f>tertiair!O16</f>
        <v>4.6900000000000004</v>
      </c>
      <c r="Q10" s="720">
        <f>tertiair!P16</f>
        <v>38.133333333333333</v>
      </c>
      <c r="R10" s="722">
        <f ca="1">SUM(C10:Q10)</f>
        <v>86489.672428396909</v>
      </c>
      <c r="S10" s="67"/>
    </row>
    <row r="11" spans="1:19" s="475" customFormat="1">
      <c r="A11" s="871" t="s">
        <v>225</v>
      </c>
      <c r="B11" s="876"/>
      <c r="C11" s="719">
        <f>huishoudens!B8</f>
        <v>71619.853634958228</v>
      </c>
      <c r="D11" s="719">
        <f>huishoudens!C8</f>
        <v>0</v>
      </c>
      <c r="E11" s="719">
        <f>huishoudens!D8</f>
        <v>123285.91472999999</v>
      </c>
      <c r="F11" s="719">
        <f>huishoudens!E8</f>
        <v>4366.3542106766026</v>
      </c>
      <c r="G11" s="719">
        <f>huishoudens!F8</f>
        <v>122142.0799877221</v>
      </c>
      <c r="H11" s="719">
        <f>huishoudens!G8</f>
        <v>0</v>
      </c>
      <c r="I11" s="719">
        <f>huishoudens!H8</f>
        <v>0</v>
      </c>
      <c r="J11" s="719">
        <f>huishoudens!I8</f>
        <v>0</v>
      </c>
      <c r="K11" s="719">
        <f>huishoudens!J8</f>
        <v>0</v>
      </c>
      <c r="L11" s="719">
        <f>huishoudens!K8</f>
        <v>0</v>
      </c>
      <c r="M11" s="719">
        <f>huishoudens!L8</f>
        <v>0</v>
      </c>
      <c r="N11" s="719">
        <f>huishoudens!M8</f>
        <v>0</v>
      </c>
      <c r="O11" s="719">
        <f>huishoudens!N8</f>
        <v>35150.189052627458</v>
      </c>
      <c r="P11" s="719">
        <f>huishoudens!O8</f>
        <v>956.7600000000001</v>
      </c>
      <c r="Q11" s="720">
        <f>huishoudens!P8</f>
        <v>1449.0666666666666</v>
      </c>
      <c r="R11" s="722">
        <f>SUM(C11:Q11)</f>
        <v>358970.2182826511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36906.575000000004</v>
      </c>
      <c r="D13" s="719">
        <f>industrie!C18</f>
        <v>0</v>
      </c>
      <c r="E13" s="719">
        <f>industrie!D18</f>
        <v>34220.855327999998</v>
      </c>
      <c r="F13" s="719">
        <f>industrie!E18</f>
        <v>1268.5082856794784</v>
      </c>
      <c r="G13" s="719">
        <f>industrie!F18</f>
        <v>17603.050679248514</v>
      </c>
      <c r="H13" s="719">
        <f>industrie!G18</f>
        <v>0</v>
      </c>
      <c r="I13" s="719">
        <f>industrie!H18</f>
        <v>0</v>
      </c>
      <c r="J13" s="719">
        <f>industrie!I18</f>
        <v>0</v>
      </c>
      <c r="K13" s="719">
        <f>industrie!J18</f>
        <v>165.29066478233682</v>
      </c>
      <c r="L13" s="719">
        <f>industrie!K18</f>
        <v>0</v>
      </c>
      <c r="M13" s="719">
        <f>industrie!L18</f>
        <v>0</v>
      </c>
      <c r="N13" s="719">
        <f>industrie!M18</f>
        <v>0</v>
      </c>
      <c r="O13" s="719">
        <f>industrie!N18</f>
        <v>12519.913436072868</v>
      </c>
      <c r="P13" s="719">
        <f>industrie!O18</f>
        <v>0</v>
      </c>
      <c r="Q13" s="720">
        <f>industrie!P18</f>
        <v>0</v>
      </c>
      <c r="R13" s="722">
        <f>SUM(C13:Q13)</f>
        <v>102684.19339378319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154980.36651286521</v>
      </c>
      <c r="D15" s="724">
        <f t="shared" ref="D15:Q15" ca="1" si="0">SUM(D9:D14)</f>
        <v>64.285714285714292</v>
      </c>
      <c r="E15" s="724">
        <f t="shared" ca="1" si="0"/>
        <v>185795.53815142857</v>
      </c>
      <c r="F15" s="724">
        <f t="shared" si="0"/>
        <v>6059.4643290518543</v>
      </c>
      <c r="G15" s="724">
        <f t="shared" ca="1" si="0"/>
        <v>146374.15990819506</v>
      </c>
      <c r="H15" s="724">
        <f t="shared" si="0"/>
        <v>0</v>
      </c>
      <c r="I15" s="724">
        <f t="shared" si="0"/>
        <v>0</v>
      </c>
      <c r="J15" s="724">
        <f t="shared" si="0"/>
        <v>0</v>
      </c>
      <c r="K15" s="724">
        <f t="shared" si="0"/>
        <v>165.29066478233682</v>
      </c>
      <c r="L15" s="724">
        <f t="shared" si="0"/>
        <v>0</v>
      </c>
      <c r="M15" s="724">
        <f t="shared" ca="1" si="0"/>
        <v>0</v>
      </c>
      <c r="N15" s="724">
        <f t="shared" si="0"/>
        <v>0</v>
      </c>
      <c r="O15" s="724">
        <f t="shared" ca="1" si="0"/>
        <v>52256.328824222423</v>
      </c>
      <c r="P15" s="724">
        <f t="shared" si="0"/>
        <v>961.45000000000016</v>
      </c>
      <c r="Q15" s="725">
        <f t="shared" si="0"/>
        <v>1487.2</v>
      </c>
      <c r="R15" s="726">
        <f ca="1">SUM(R9:R14)</f>
        <v>548144.08410483121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3434.8994477056985</v>
      </c>
      <c r="I18" s="719">
        <f>transport!H54</f>
        <v>0</v>
      </c>
      <c r="J18" s="719">
        <f>transport!I54</f>
        <v>0</v>
      </c>
      <c r="K18" s="719">
        <f>transport!J54</f>
        <v>0</v>
      </c>
      <c r="L18" s="719">
        <f>transport!K54</f>
        <v>0</v>
      </c>
      <c r="M18" s="719">
        <f>transport!L54</f>
        <v>0</v>
      </c>
      <c r="N18" s="719">
        <f>transport!M54</f>
        <v>195.88230222985143</v>
      </c>
      <c r="O18" s="719">
        <f>transport!N54</f>
        <v>0</v>
      </c>
      <c r="P18" s="719">
        <f>transport!O54</f>
        <v>0</v>
      </c>
      <c r="Q18" s="720">
        <f>transport!P54</f>
        <v>0</v>
      </c>
      <c r="R18" s="722">
        <f>SUM(C18:Q18)</f>
        <v>3630.7817499355501</v>
      </c>
      <c r="S18" s="67"/>
    </row>
    <row r="19" spans="1:19" s="475" customFormat="1" ht="15" thickBot="1">
      <c r="A19" s="871" t="s">
        <v>307</v>
      </c>
      <c r="B19" s="876"/>
      <c r="C19" s="728">
        <f>transport!B14</f>
        <v>36.196745641942229</v>
      </c>
      <c r="D19" s="728">
        <f>transport!C14</f>
        <v>0</v>
      </c>
      <c r="E19" s="728">
        <f>transport!D14</f>
        <v>105.32496152811291</v>
      </c>
      <c r="F19" s="728">
        <f>transport!E14</f>
        <v>710.86326826457616</v>
      </c>
      <c r="G19" s="728">
        <f>transport!F14</f>
        <v>0</v>
      </c>
      <c r="H19" s="728">
        <f>transport!G14</f>
        <v>200284.03192278487</v>
      </c>
      <c r="I19" s="728">
        <f>transport!H14</f>
        <v>40076.860252030427</v>
      </c>
      <c r="J19" s="728">
        <f>transport!I14</f>
        <v>0</v>
      </c>
      <c r="K19" s="728">
        <f>transport!J14</f>
        <v>0</v>
      </c>
      <c r="L19" s="728">
        <f>transport!K14</f>
        <v>0</v>
      </c>
      <c r="M19" s="728">
        <f>transport!L14</f>
        <v>0</v>
      </c>
      <c r="N19" s="728">
        <f>transport!M14</f>
        <v>12819.237809501146</v>
      </c>
      <c r="O19" s="728">
        <f>transport!N14</f>
        <v>0</v>
      </c>
      <c r="P19" s="728">
        <f>transport!O14</f>
        <v>0</v>
      </c>
      <c r="Q19" s="729">
        <f>transport!P14</f>
        <v>0</v>
      </c>
      <c r="R19" s="730">
        <f>SUM(C19:Q19)</f>
        <v>254032.51495975108</v>
      </c>
      <c r="S19" s="67"/>
    </row>
    <row r="20" spans="1:19" s="475" customFormat="1" ht="15.75" thickBot="1">
      <c r="A20" s="731" t="s">
        <v>230</v>
      </c>
      <c r="B20" s="879"/>
      <c r="C20" s="874">
        <f>SUM(C17:C19)</f>
        <v>36.196745641942229</v>
      </c>
      <c r="D20" s="732">
        <f t="shared" ref="D20:R20" si="1">SUM(D17:D19)</f>
        <v>0</v>
      </c>
      <c r="E20" s="732">
        <f t="shared" si="1"/>
        <v>105.32496152811291</v>
      </c>
      <c r="F20" s="732">
        <f t="shared" si="1"/>
        <v>710.86326826457616</v>
      </c>
      <c r="G20" s="732">
        <f t="shared" si="1"/>
        <v>0</v>
      </c>
      <c r="H20" s="732">
        <f t="shared" si="1"/>
        <v>203718.93137049058</v>
      </c>
      <c r="I20" s="732">
        <f t="shared" si="1"/>
        <v>40076.860252030427</v>
      </c>
      <c r="J20" s="732">
        <f t="shared" si="1"/>
        <v>0</v>
      </c>
      <c r="K20" s="732">
        <f t="shared" si="1"/>
        <v>0</v>
      </c>
      <c r="L20" s="732">
        <f t="shared" si="1"/>
        <v>0</v>
      </c>
      <c r="M20" s="732">
        <f t="shared" si="1"/>
        <v>0</v>
      </c>
      <c r="N20" s="732">
        <f t="shared" si="1"/>
        <v>13015.120111730997</v>
      </c>
      <c r="O20" s="732">
        <f t="shared" si="1"/>
        <v>0</v>
      </c>
      <c r="P20" s="732">
        <f t="shared" si="1"/>
        <v>0</v>
      </c>
      <c r="Q20" s="733">
        <f t="shared" si="1"/>
        <v>0</v>
      </c>
      <c r="R20" s="734">
        <f t="shared" si="1"/>
        <v>257663.29670968663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637.42499999999995</v>
      </c>
      <c r="D22" s="728">
        <f>+landbouw!C8</f>
        <v>0</v>
      </c>
      <c r="E22" s="728">
        <f>+landbouw!D8</f>
        <v>480.02094799999998</v>
      </c>
      <c r="F22" s="728">
        <f>+landbouw!E8</f>
        <v>5.9040973281311429</v>
      </c>
      <c r="G22" s="728">
        <f>+landbouw!F8</f>
        <v>1617.2686543378868</v>
      </c>
      <c r="H22" s="728">
        <f>+landbouw!G8</f>
        <v>0</v>
      </c>
      <c r="I22" s="728">
        <f>+landbouw!H8</f>
        <v>0</v>
      </c>
      <c r="J22" s="728">
        <f>+landbouw!I8</f>
        <v>0</v>
      </c>
      <c r="K22" s="728">
        <f>+landbouw!J8</f>
        <v>97.724366183761958</v>
      </c>
      <c r="L22" s="728">
        <f>+landbouw!K8</f>
        <v>0</v>
      </c>
      <c r="M22" s="728">
        <f>+landbouw!L8</f>
        <v>0</v>
      </c>
      <c r="N22" s="728">
        <f>+landbouw!M8</f>
        <v>0</v>
      </c>
      <c r="O22" s="728">
        <f>+landbouw!N8</f>
        <v>0</v>
      </c>
      <c r="P22" s="728">
        <f>+landbouw!O8</f>
        <v>0</v>
      </c>
      <c r="Q22" s="729">
        <f>+landbouw!P8</f>
        <v>0</v>
      </c>
      <c r="R22" s="730">
        <f>SUM(C22:Q22)</f>
        <v>2838.34306584978</v>
      </c>
      <c r="S22" s="67"/>
    </row>
    <row r="23" spans="1:19" s="475" customFormat="1" ht="17.25" thickTop="1" thickBot="1">
      <c r="A23" s="735" t="s">
        <v>116</v>
      </c>
      <c r="B23" s="865"/>
      <c r="C23" s="736">
        <f ca="1">C20+C15+C22</f>
        <v>155653.98825850713</v>
      </c>
      <c r="D23" s="736">
        <f t="shared" ref="D23:Q23" ca="1" si="2">D20+D15+D22</f>
        <v>64.285714285714292</v>
      </c>
      <c r="E23" s="736">
        <f t="shared" ca="1" si="2"/>
        <v>186380.88406095668</v>
      </c>
      <c r="F23" s="736">
        <f t="shared" si="2"/>
        <v>6776.2316946445617</v>
      </c>
      <c r="G23" s="736">
        <f t="shared" ca="1" si="2"/>
        <v>147991.42856253294</v>
      </c>
      <c r="H23" s="736">
        <f t="shared" si="2"/>
        <v>203718.93137049058</v>
      </c>
      <c r="I23" s="736">
        <f t="shared" si="2"/>
        <v>40076.860252030427</v>
      </c>
      <c r="J23" s="736">
        <f t="shared" si="2"/>
        <v>0</v>
      </c>
      <c r="K23" s="736">
        <f t="shared" si="2"/>
        <v>263.01503096609878</v>
      </c>
      <c r="L23" s="736">
        <f t="shared" si="2"/>
        <v>0</v>
      </c>
      <c r="M23" s="736">
        <f t="shared" ca="1" si="2"/>
        <v>0</v>
      </c>
      <c r="N23" s="736">
        <f t="shared" si="2"/>
        <v>13015.120111730997</v>
      </c>
      <c r="O23" s="736">
        <f t="shared" ca="1" si="2"/>
        <v>52256.328824222423</v>
      </c>
      <c r="P23" s="736">
        <f t="shared" si="2"/>
        <v>961.45000000000016</v>
      </c>
      <c r="Q23" s="737">
        <f t="shared" si="2"/>
        <v>1487.2</v>
      </c>
      <c r="R23" s="738">
        <f ca="1">R20+R15+R22</f>
        <v>808645.72388036759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7593.7740837894507</v>
      </c>
      <c r="D36" s="719">
        <f ca="1">tertiair!C20</f>
        <v>15.277310924369752</v>
      </c>
      <c r="E36" s="719">
        <f ca="1">tertiair!D20</f>
        <v>5714.3311548725742</v>
      </c>
      <c r="F36" s="719">
        <f>tertiair!E20</f>
        <v>96.384616021940488</v>
      </c>
      <c r="G36" s="719">
        <f ca="1">tertiair!F20</f>
        <v>1769.9508074069217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15189.717973015257</v>
      </c>
    </row>
    <row r="37" spans="1:18">
      <c r="A37" s="886" t="s">
        <v>225</v>
      </c>
      <c r="B37" s="893"/>
      <c r="C37" s="719">
        <f ca="1">huishoudens!B12</f>
        <v>11707.618627453243</v>
      </c>
      <c r="D37" s="719">
        <f ca="1">huishoudens!C12</f>
        <v>0</v>
      </c>
      <c r="E37" s="719">
        <f>huishoudens!D12</f>
        <v>24903.754775459998</v>
      </c>
      <c r="F37" s="719">
        <f>huishoudens!E12</f>
        <v>991.16240582358887</v>
      </c>
      <c r="G37" s="719">
        <f>huishoudens!F12</f>
        <v>32611.935356721802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70214.471165458628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6033.0771848239938</v>
      </c>
      <c r="D39" s="719">
        <f ca="1">industrie!C22</f>
        <v>0</v>
      </c>
      <c r="E39" s="719">
        <f>industrie!D22</f>
        <v>6912.612776256</v>
      </c>
      <c r="F39" s="719">
        <f>industrie!E22</f>
        <v>287.95138084924162</v>
      </c>
      <c r="G39" s="719">
        <f>industrie!F22</f>
        <v>4700.0145313593539</v>
      </c>
      <c r="H39" s="719">
        <f>industrie!G22</f>
        <v>0</v>
      </c>
      <c r="I39" s="719">
        <f>industrie!H22</f>
        <v>0</v>
      </c>
      <c r="J39" s="719">
        <f>industrie!I22</f>
        <v>0</v>
      </c>
      <c r="K39" s="719">
        <f>industrie!J22</f>
        <v>58.512895332947231</v>
      </c>
      <c r="L39" s="719">
        <f>industrie!K22</f>
        <v>0</v>
      </c>
      <c r="M39" s="719">
        <f>industrie!L22</f>
        <v>0</v>
      </c>
      <c r="N39" s="719">
        <f>industrie!M22</f>
        <v>0</v>
      </c>
      <c r="O39" s="719">
        <f>industrie!N22</f>
        <v>0</v>
      </c>
      <c r="P39" s="719">
        <f>industrie!O22</f>
        <v>0</v>
      </c>
      <c r="Q39" s="829">
        <f>industrie!P22</f>
        <v>0</v>
      </c>
      <c r="R39" s="919">
        <f ca="1">SUM(C39:Q39)</f>
        <v>17992.168768621537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25334.469896066686</v>
      </c>
      <c r="D41" s="764">
        <f t="shared" ref="D41:R41" ca="1" si="4">SUM(D35:D40)</f>
        <v>15.277310924369752</v>
      </c>
      <c r="E41" s="764">
        <f t="shared" ca="1" si="4"/>
        <v>37530.69870658857</v>
      </c>
      <c r="F41" s="764">
        <f t="shared" si="4"/>
        <v>1375.4984026947709</v>
      </c>
      <c r="G41" s="764">
        <f t="shared" ca="1" si="4"/>
        <v>39081.900695488075</v>
      </c>
      <c r="H41" s="764">
        <f t="shared" si="4"/>
        <v>0</v>
      </c>
      <c r="I41" s="764">
        <f t="shared" si="4"/>
        <v>0</v>
      </c>
      <c r="J41" s="764">
        <f t="shared" si="4"/>
        <v>0</v>
      </c>
      <c r="K41" s="764">
        <f t="shared" si="4"/>
        <v>58.512895332947231</v>
      </c>
      <c r="L41" s="764">
        <f t="shared" si="4"/>
        <v>0</v>
      </c>
      <c r="M41" s="764">
        <f t="shared" ca="1" si="4"/>
        <v>0</v>
      </c>
      <c r="N41" s="764">
        <f t="shared" si="4"/>
        <v>0</v>
      </c>
      <c r="O41" s="764">
        <f t="shared" ca="1" si="4"/>
        <v>0</v>
      </c>
      <c r="P41" s="764">
        <f t="shared" si="4"/>
        <v>0</v>
      </c>
      <c r="Q41" s="765">
        <f t="shared" si="4"/>
        <v>0</v>
      </c>
      <c r="R41" s="766">
        <f t="shared" ca="1" si="4"/>
        <v>103396.35790709543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917.11815253742157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917.11815253742157</v>
      </c>
    </row>
    <row r="45" spans="1:18" ht="15" thickBot="1">
      <c r="A45" s="889" t="s">
        <v>307</v>
      </c>
      <c r="B45" s="899"/>
      <c r="C45" s="728">
        <f ca="1">transport!B18</f>
        <v>5.917042161112998</v>
      </c>
      <c r="D45" s="728">
        <f>transport!C18</f>
        <v>0</v>
      </c>
      <c r="E45" s="728">
        <f>transport!D18</f>
        <v>21.275642228678809</v>
      </c>
      <c r="F45" s="728">
        <f>transport!E18</f>
        <v>161.36596189605879</v>
      </c>
      <c r="G45" s="728">
        <f>transport!F18</f>
        <v>0</v>
      </c>
      <c r="H45" s="728">
        <f>transport!G18</f>
        <v>53475.836523383565</v>
      </c>
      <c r="I45" s="728">
        <f>transport!H18</f>
        <v>9979.1382027555755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63643.533372424987</v>
      </c>
    </row>
    <row r="46" spans="1:18" ht="15.75" thickBot="1">
      <c r="A46" s="887" t="s">
        <v>230</v>
      </c>
      <c r="B46" s="900"/>
      <c r="C46" s="764">
        <f t="shared" ref="C46:R46" ca="1" si="5">SUM(C43:C45)</f>
        <v>5.917042161112998</v>
      </c>
      <c r="D46" s="764">
        <f t="shared" ca="1" si="5"/>
        <v>0</v>
      </c>
      <c r="E46" s="764">
        <f t="shared" si="5"/>
        <v>21.275642228678809</v>
      </c>
      <c r="F46" s="764">
        <f t="shared" si="5"/>
        <v>161.36596189605879</v>
      </c>
      <c r="G46" s="764">
        <f t="shared" si="5"/>
        <v>0</v>
      </c>
      <c r="H46" s="764">
        <f t="shared" si="5"/>
        <v>54392.954675920984</v>
      </c>
      <c r="I46" s="764">
        <f t="shared" si="5"/>
        <v>9979.1382027555755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64560.651524962406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104.19916300920455</v>
      </c>
      <c r="D48" s="719">
        <f ca="1">+landbouw!C12</f>
        <v>0</v>
      </c>
      <c r="E48" s="719">
        <f>+landbouw!D12</f>
        <v>96.964231495999996</v>
      </c>
      <c r="F48" s="719">
        <f>+landbouw!E12</f>
        <v>1.3402300934857694</v>
      </c>
      <c r="G48" s="719">
        <f>+landbouw!F12</f>
        <v>431.81073070821583</v>
      </c>
      <c r="H48" s="719">
        <f>+landbouw!G12</f>
        <v>0</v>
      </c>
      <c r="I48" s="719">
        <f>+landbouw!H12</f>
        <v>0</v>
      </c>
      <c r="J48" s="719">
        <f>+landbouw!I12</f>
        <v>0</v>
      </c>
      <c r="K48" s="719">
        <f>+landbouw!J12</f>
        <v>34.594425629051734</v>
      </c>
      <c r="L48" s="719">
        <f>+landbouw!K12</f>
        <v>0</v>
      </c>
      <c r="M48" s="719">
        <f>+landbouw!L12</f>
        <v>0</v>
      </c>
      <c r="N48" s="719">
        <f>+landbouw!M12</f>
        <v>0</v>
      </c>
      <c r="O48" s="719">
        <f>+landbouw!N12</f>
        <v>0</v>
      </c>
      <c r="P48" s="719">
        <f>+landbouw!O12</f>
        <v>0</v>
      </c>
      <c r="Q48" s="720">
        <f>+landbouw!P12</f>
        <v>0</v>
      </c>
      <c r="R48" s="762">
        <f ca="1">SUM(C48:Q48)</f>
        <v>668.90878093595791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25444.586101237004</v>
      </c>
      <c r="D53" s="774">
        <f t="shared" ref="D53:Q53" ca="1" si="6">D41+D46+D48</f>
        <v>15.277310924369752</v>
      </c>
      <c r="E53" s="774">
        <f t="shared" ca="1" si="6"/>
        <v>37648.938580313246</v>
      </c>
      <c r="F53" s="774">
        <f t="shared" si="6"/>
        <v>1538.2045946843155</v>
      </c>
      <c r="G53" s="774">
        <f t="shared" ca="1" si="6"/>
        <v>39513.711426196292</v>
      </c>
      <c r="H53" s="774">
        <f t="shared" si="6"/>
        <v>54392.954675920984</v>
      </c>
      <c r="I53" s="774">
        <f t="shared" si="6"/>
        <v>9979.1382027555755</v>
      </c>
      <c r="J53" s="774">
        <f t="shared" si="6"/>
        <v>0</v>
      </c>
      <c r="K53" s="774">
        <f t="shared" si="6"/>
        <v>93.107320961998965</v>
      </c>
      <c r="L53" s="774">
        <f t="shared" si="6"/>
        <v>0</v>
      </c>
      <c r="M53" s="774">
        <f t="shared" ca="1" si="6"/>
        <v>0</v>
      </c>
      <c r="N53" s="774">
        <f t="shared" si="6"/>
        <v>0</v>
      </c>
      <c r="O53" s="774">
        <f t="shared" ca="1" si="6"/>
        <v>0</v>
      </c>
      <c r="P53" s="774">
        <f>P41+P46+P48</f>
        <v>0</v>
      </c>
      <c r="Q53" s="775">
        <f t="shared" si="6"/>
        <v>0</v>
      </c>
      <c r="R53" s="776">
        <f ca="1">R41+R46+R48</f>
        <v>168625.9182129938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0.16346889910060722</v>
      </c>
      <c r="D55" s="837">
        <f t="shared" ca="1" si="7"/>
        <v>0.23764705882352946</v>
      </c>
      <c r="E55" s="837">
        <f t="shared" ca="1" si="7"/>
        <v>0.20199999999999999</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22337.24300659529</v>
      </c>
      <c r="C64" s="796">
        <f>'lokale energieproductie'!B4</f>
        <v>22337.24300659529</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18186.261163269544</v>
      </c>
      <c r="C66" s="796">
        <f>'lokale energieproductie'!B6</f>
        <v>18186.261163269544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v>
      </c>
      <c r="C67" s="795">
        <f>B67*IFERROR(SUM(J67:L67)/SUM(D67:M67),0)</f>
        <v>0</v>
      </c>
      <c r="D67" s="827">
        <f>'lokale energieproductie'!C7</f>
        <v>52.941176470588239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10.694117647058825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40568.504169864835</v>
      </c>
      <c r="C69" s="804">
        <f>SUM(C64:C68)</f>
        <v>40523.504169864835</v>
      </c>
      <c r="D69" s="805">
        <f t="shared" ref="D69:M69" si="8">SUM(D67:D68)</f>
        <v>52.941176470588239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10.694117647058825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64.285714285714292</v>
      </c>
      <c r="C78" s="818">
        <f>B78*IFERROR(SUM(I78:L78)/SUM(D78:M78),0)</f>
        <v>0</v>
      </c>
      <c r="D78" s="833">
        <f>'lokale energieproductie'!C16</f>
        <v>75.630252100840352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15.277310924369752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64.285714285714292</v>
      </c>
      <c r="C81" s="804">
        <f>SUM(C78:C80)</f>
        <v>0</v>
      </c>
      <c r="D81" s="804">
        <f t="shared" ref="D81:P81" si="9">SUM(D78:D80)</f>
        <v>75.630252100840352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15.277310924369752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71619.853634958228</v>
      </c>
      <c r="C4" s="479">
        <f>huishoudens!C8</f>
        <v>0</v>
      </c>
      <c r="D4" s="479">
        <f>huishoudens!D8</f>
        <v>123285.91472999999</v>
      </c>
      <c r="E4" s="479">
        <f>huishoudens!E8</f>
        <v>4366.3542106766026</v>
      </c>
      <c r="F4" s="479">
        <f>huishoudens!F8</f>
        <v>122142.0799877221</v>
      </c>
      <c r="G4" s="479">
        <f>huishoudens!G8</f>
        <v>0</v>
      </c>
      <c r="H4" s="479">
        <f>huishoudens!H8</f>
        <v>0</v>
      </c>
      <c r="I4" s="479">
        <f>huishoudens!I8</f>
        <v>0</v>
      </c>
      <c r="J4" s="479">
        <f>huishoudens!J8</f>
        <v>0</v>
      </c>
      <c r="K4" s="479">
        <f>huishoudens!K8</f>
        <v>0</v>
      </c>
      <c r="L4" s="479">
        <f>huishoudens!L8</f>
        <v>0</v>
      </c>
      <c r="M4" s="479">
        <f>huishoudens!M8</f>
        <v>0</v>
      </c>
      <c r="N4" s="479">
        <f>huishoudens!N8</f>
        <v>35150.189052627458</v>
      </c>
      <c r="O4" s="479">
        <f>huishoudens!O8</f>
        <v>956.7600000000001</v>
      </c>
      <c r="P4" s="480">
        <f>huishoudens!P8</f>
        <v>1449.0666666666666</v>
      </c>
      <c r="Q4" s="481">
        <f>SUM(B4:P4)</f>
        <v>358970.2182826511</v>
      </c>
    </row>
    <row r="5" spans="1:17">
      <c r="A5" s="478" t="s">
        <v>156</v>
      </c>
      <c r="B5" s="479">
        <f ca="1">tertiair!B16</f>
        <v>44507.659877906975</v>
      </c>
      <c r="C5" s="479">
        <f ca="1">tertiair!C16</f>
        <v>64.285714285714292</v>
      </c>
      <c r="D5" s="479">
        <f ca="1">tertiair!D16</f>
        <v>28288.768093428582</v>
      </c>
      <c r="E5" s="479">
        <f>tertiair!E16</f>
        <v>424.60183269577306</v>
      </c>
      <c r="F5" s="479">
        <f ca="1">tertiair!F16</f>
        <v>6629.0292412244253</v>
      </c>
      <c r="G5" s="479">
        <f>tertiair!G16</f>
        <v>0</v>
      </c>
      <c r="H5" s="479">
        <f>tertiair!H16</f>
        <v>0</v>
      </c>
      <c r="I5" s="479">
        <f>tertiair!I16</f>
        <v>0</v>
      </c>
      <c r="J5" s="479">
        <f>tertiair!J16</f>
        <v>0</v>
      </c>
      <c r="K5" s="479">
        <f>tertiair!K16</f>
        <v>0</v>
      </c>
      <c r="L5" s="479">
        <f ca="1">tertiair!L16</f>
        <v>0</v>
      </c>
      <c r="M5" s="479">
        <f>tertiair!M16</f>
        <v>0</v>
      </c>
      <c r="N5" s="479">
        <f ca="1">tertiair!N16</f>
        <v>4586.2263355221012</v>
      </c>
      <c r="O5" s="479">
        <f>tertiair!O16</f>
        <v>4.6900000000000004</v>
      </c>
      <c r="P5" s="480">
        <f>tertiair!P16</f>
        <v>38.133333333333333</v>
      </c>
      <c r="Q5" s="478">
        <f t="shared" ref="Q5:Q13" ca="1" si="0">SUM(B5:P5)</f>
        <v>84543.394428396918</v>
      </c>
    </row>
    <row r="6" spans="1:17">
      <c r="A6" s="478" t="s">
        <v>194</v>
      </c>
      <c r="B6" s="479">
        <f>'openbare verlichting'!B8</f>
        <v>1946.278</v>
      </c>
      <c r="C6" s="479"/>
      <c r="D6" s="479"/>
      <c r="E6" s="479"/>
      <c r="F6" s="479"/>
      <c r="G6" s="479"/>
      <c r="H6" s="479"/>
      <c r="I6" s="479"/>
      <c r="J6" s="479"/>
      <c r="K6" s="479"/>
      <c r="L6" s="479"/>
      <c r="M6" s="479"/>
      <c r="N6" s="479"/>
      <c r="O6" s="479"/>
      <c r="P6" s="480"/>
      <c r="Q6" s="478">
        <f t="shared" si="0"/>
        <v>1946.278</v>
      </c>
    </row>
    <row r="7" spans="1:17">
      <c r="A7" s="478" t="s">
        <v>112</v>
      </c>
      <c r="B7" s="479">
        <f>landbouw!B8</f>
        <v>637.42499999999995</v>
      </c>
      <c r="C7" s="479">
        <f>landbouw!C8</f>
        <v>0</v>
      </c>
      <c r="D7" s="479">
        <f>landbouw!D8</f>
        <v>480.02094799999998</v>
      </c>
      <c r="E7" s="479">
        <f>landbouw!E8</f>
        <v>5.9040973281311429</v>
      </c>
      <c r="F7" s="479">
        <f>landbouw!F8</f>
        <v>1617.2686543378868</v>
      </c>
      <c r="G7" s="479">
        <f>landbouw!G8</f>
        <v>0</v>
      </c>
      <c r="H7" s="479">
        <f>landbouw!H8</f>
        <v>0</v>
      </c>
      <c r="I7" s="479">
        <f>landbouw!I8</f>
        <v>0</v>
      </c>
      <c r="J7" s="479">
        <f>landbouw!J8</f>
        <v>97.724366183761958</v>
      </c>
      <c r="K7" s="479">
        <f>landbouw!K8</f>
        <v>0</v>
      </c>
      <c r="L7" s="479">
        <f>landbouw!L8</f>
        <v>0</v>
      </c>
      <c r="M7" s="479">
        <f>landbouw!M8</f>
        <v>0</v>
      </c>
      <c r="N7" s="479">
        <f>landbouw!N8</f>
        <v>0</v>
      </c>
      <c r="O7" s="479">
        <f>landbouw!O8</f>
        <v>0</v>
      </c>
      <c r="P7" s="480">
        <f>landbouw!P8</f>
        <v>0</v>
      </c>
      <c r="Q7" s="478">
        <f t="shared" si="0"/>
        <v>2838.34306584978</v>
      </c>
    </row>
    <row r="8" spans="1:17">
      <c r="A8" s="478" t="s">
        <v>650</v>
      </c>
      <c r="B8" s="479">
        <f>industrie!B18</f>
        <v>36906.575000000004</v>
      </c>
      <c r="C8" s="479">
        <f>industrie!C18</f>
        <v>0</v>
      </c>
      <c r="D8" s="479">
        <f>industrie!D18</f>
        <v>34220.855327999998</v>
      </c>
      <c r="E8" s="479">
        <f>industrie!E18</f>
        <v>1268.5082856794784</v>
      </c>
      <c r="F8" s="479">
        <f>industrie!F18</f>
        <v>17603.050679248514</v>
      </c>
      <c r="G8" s="479">
        <f>industrie!G18</f>
        <v>0</v>
      </c>
      <c r="H8" s="479">
        <f>industrie!H18</f>
        <v>0</v>
      </c>
      <c r="I8" s="479">
        <f>industrie!I18</f>
        <v>0</v>
      </c>
      <c r="J8" s="479">
        <f>industrie!J18</f>
        <v>165.29066478233682</v>
      </c>
      <c r="K8" s="479">
        <f>industrie!K18</f>
        <v>0</v>
      </c>
      <c r="L8" s="479">
        <f>industrie!L18</f>
        <v>0</v>
      </c>
      <c r="M8" s="479">
        <f>industrie!M18</f>
        <v>0</v>
      </c>
      <c r="N8" s="479">
        <f>industrie!N18</f>
        <v>12519.913436072868</v>
      </c>
      <c r="O8" s="479">
        <f>industrie!O18</f>
        <v>0</v>
      </c>
      <c r="P8" s="480">
        <f>industrie!P18</f>
        <v>0</v>
      </c>
      <c r="Q8" s="478">
        <f t="shared" si="0"/>
        <v>102684.19339378319</v>
      </c>
    </row>
    <row r="9" spans="1:17" s="484" customFormat="1">
      <c r="A9" s="482" t="s">
        <v>571</v>
      </c>
      <c r="B9" s="483">
        <f>transport!B14</f>
        <v>36.196745641942229</v>
      </c>
      <c r="C9" s="483"/>
      <c r="D9" s="483">
        <f>transport!D14</f>
        <v>105.32496152811291</v>
      </c>
      <c r="E9" s="483">
        <f>transport!E14</f>
        <v>710.86326826457616</v>
      </c>
      <c r="F9" s="483"/>
      <c r="G9" s="483">
        <f>transport!G14</f>
        <v>200284.03192278487</v>
      </c>
      <c r="H9" s="483">
        <f>transport!H14</f>
        <v>40076.860252030427</v>
      </c>
      <c r="I9" s="483"/>
      <c r="J9" s="483"/>
      <c r="K9" s="483"/>
      <c r="L9" s="483"/>
      <c r="M9" s="483">
        <f>transport!M14</f>
        <v>12819.237809501146</v>
      </c>
      <c r="N9" s="483"/>
      <c r="O9" s="483"/>
      <c r="P9" s="483"/>
      <c r="Q9" s="482">
        <f>SUM(B9:P9)</f>
        <v>254032.51495975108</v>
      </c>
    </row>
    <row r="10" spans="1:17">
      <c r="A10" s="478" t="s">
        <v>561</v>
      </c>
      <c r="B10" s="479">
        <f>transport!B54</f>
        <v>0</v>
      </c>
      <c r="C10" s="479"/>
      <c r="D10" s="479">
        <f>transport!D54</f>
        <v>0</v>
      </c>
      <c r="E10" s="479"/>
      <c r="F10" s="479"/>
      <c r="G10" s="479">
        <f>transport!G54</f>
        <v>3434.8994477056985</v>
      </c>
      <c r="H10" s="479"/>
      <c r="I10" s="479"/>
      <c r="J10" s="479"/>
      <c r="K10" s="479"/>
      <c r="L10" s="479"/>
      <c r="M10" s="479">
        <f>transport!M54</f>
        <v>195.88230222985143</v>
      </c>
      <c r="N10" s="479"/>
      <c r="O10" s="479"/>
      <c r="P10" s="480"/>
      <c r="Q10" s="478">
        <f t="shared" si="0"/>
        <v>3630.7817499355501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155653.98825850716</v>
      </c>
      <c r="C14" s="489">
        <f t="shared" ref="C14:Q14" ca="1" si="1">SUM(C4:C13)</f>
        <v>64.285714285714292</v>
      </c>
      <c r="D14" s="489">
        <f t="shared" ca="1" si="1"/>
        <v>186380.88406095668</v>
      </c>
      <c r="E14" s="489">
        <f t="shared" si="1"/>
        <v>6776.2316946445608</v>
      </c>
      <c r="F14" s="489">
        <f t="shared" ca="1" si="1"/>
        <v>147991.42856253294</v>
      </c>
      <c r="G14" s="489">
        <f t="shared" si="1"/>
        <v>203718.93137049058</v>
      </c>
      <c r="H14" s="489">
        <f t="shared" si="1"/>
        <v>40076.860252030427</v>
      </c>
      <c r="I14" s="489">
        <f t="shared" si="1"/>
        <v>0</v>
      </c>
      <c r="J14" s="489">
        <f t="shared" si="1"/>
        <v>263.01503096609878</v>
      </c>
      <c r="K14" s="489">
        <f t="shared" si="1"/>
        <v>0</v>
      </c>
      <c r="L14" s="489">
        <f t="shared" ca="1" si="1"/>
        <v>0</v>
      </c>
      <c r="M14" s="489">
        <f t="shared" si="1"/>
        <v>13015.120111730997</v>
      </c>
      <c r="N14" s="489">
        <f t="shared" ca="1" si="1"/>
        <v>52256.328824222423</v>
      </c>
      <c r="O14" s="489">
        <f t="shared" si="1"/>
        <v>961.45000000000016</v>
      </c>
      <c r="P14" s="490">
        <f t="shared" si="1"/>
        <v>1487.2</v>
      </c>
      <c r="Q14" s="490">
        <f t="shared" ca="1" si="1"/>
        <v>808645.72388036759</v>
      </c>
    </row>
    <row r="16" spans="1:17">
      <c r="A16" s="492" t="s">
        <v>566</v>
      </c>
      <c r="B16" s="842">
        <f ca="1">huishoudens!B10</f>
        <v>0.16346889910060722</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11707.618627453243</v>
      </c>
      <c r="C21" s="479">
        <f t="shared" ref="C21:C28" ca="1" si="3">C4*$C$16</f>
        <v>0</v>
      </c>
      <c r="D21" s="479">
        <f t="shared" ref="D21:D30" si="4">D4*$D$16</f>
        <v>24903.754775459998</v>
      </c>
      <c r="E21" s="479">
        <f t="shared" ref="E21:E30" si="5">E4*$E$16</f>
        <v>991.16240582358887</v>
      </c>
      <c r="F21" s="479">
        <f t="shared" ref="F21:F28" si="6">F4*$F$16</f>
        <v>32611.935356721802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70214.471165458628</v>
      </c>
    </row>
    <row r="22" spans="1:17">
      <c r="A22" s="478" t="s">
        <v>156</v>
      </c>
      <c r="B22" s="479">
        <f t="shared" ca="1" si="2"/>
        <v>7275.6181617857192</v>
      </c>
      <c r="C22" s="479">
        <f t="shared" ca="1" si="3"/>
        <v>15.277310924369752</v>
      </c>
      <c r="D22" s="479">
        <f t="shared" ca="1" si="4"/>
        <v>5714.3311548725742</v>
      </c>
      <c r="E22" s="479">
        <f t="shared" si="5"/>
        <v>96.384616021940488</v>
      </c>
      <c r="F22" s="479">
        <f t="shared" ca="1" si="6"/>
        <v>1769.9508074069217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14871.562051011524</v>
      </c>
    </row>
    <row r="23" spans="1:17">
      <c r="A23" s="478" t="s">
        <v>194</v>
      </c>
      <c r="B23" s="479">
        <f t="shared" ca="1" si="2"/>
        <v>318.15592200373163</v>
      </c>
      <c r="C23" s="479"/>
      <c r="D23" s="479"/>
      <c r="E23" s="479"/>
      <c r="F23" s="479"/>
      <c r="G23" s="479"/>
      <c r="H23" s="479"/>
      <c r="I23" s="479"/>
      <c r="J23" s="479"/>
      <c r="K23" s="479"/>
      <c r="L23" s="479"/>
      <c r="M23" s="479"/>
      <c r="N23" s="479"/>
      <c r="O23" s="479"/>
      <c r="P23" s="480"/>
      <c r="Q23" s="478">
        <f t="shared" ca="1" si="17"/>
        <v>318.15592200373163</v>
      </c>
    </row>
    <row r="24" spans="1:17">
      <c r="A24" s="478" t="s">
        <v>112</v>
      </c>
      <c r="B24" s="479">
        <f t="shared" ca="1" si="2"/>
        <v>104.19916300920455</v>
      </c>
      <c r="C24" s="479">
        <f t="shared" ca="1" si="3"/>
        <v>0</v>
      </c>
      <c r="D24" s="479">
        <f t="shared" si="4"/>
        <v>96.964231495999996</v>
      </c>
      <c r="E24" s="479">
        <f t="shared" si="5"/>
        <v>1.3402300934857694</v>
      </c>
      <c r="F24" s="479">
        <f t="shared" si="6"/>
        <v>431.81073070821583</v>
      </c>
      <c r="G24" s="479">
        <f t="shared" si="7"/>
        <v>0</v>
      </c>
      <c r="H24" s="479">
        <f t="shared" si="8"/>
        <v>0</v>
      </c>
      <c r="I24" s="479">
        <f t="shared" si="9"/>
        <v>0</v>
      </c>
      <c r="J24" s="479">
        <f t="shared" si="10"/>
        <v>34.594425629051734</v>
      </c>
      <c r="K24" s="479">
        <f t="shared" si="11"/>
        <v>0</v>
      </c>
      <c r="L24" s="479">
        <f t="shared" si="12"/>
        <v>0</v>
      </c>
      <c r="M24" s="479">
        <f t="shared" si="13"/>
        <v>0</v>
      </c>
      <c r="N24" s="479">
        <f t="shared" si="14"/>
        <v>0</v>
      </c>
      <c r="O24" s="479">
        <f t="shared" si="15"/>
        <v>0</v>
      </c>
      <c r="P24" s="480">
        <f t="shared" si="16"/>
        <v>0</v>
      </c>
      <c r="Q24" s="478">
        <f t="shared" ca="1" si="17"/>
        <v>668.90878093595791</v>
      </c>
    </row>
    <row r="25" spans="1:17">
      <c r="A25" s="478" t="s">
        <v>650</v>
      </c>
      <c r="B25" s="479">
        <f t="shared" ca="1" si="2"/>
        <v>6033.0771848239938</v>
      </c>
      <c r="C25" s="479">
        <f t="shared" ca="1" si="3"/>
        <v>0</v>
      </c>
      <c r="D25" s="479">
        <f t="shared" si="4"/>
        <v>6912.612776256</v>
      </c>
      <c r="E25" s="479">
        <f t="shared" si="5"/>
        <v>287.95138084924162</v>
      </c>
      <c r="F25" s="479">
        <f t="shared" si="6"/>
        <v>4700.0145313593539</v>
      </c>
      <c r="G25" s="479">
        <f t="shared" si="7"/>
        <v>0</v>
      </c>
      <c r="H25" s="479">
        <f t="shared" si="8"/>
        <v>0</v>
      </c>
      <c r="I25" s="479">
        <f t="shared" si="9"/>
        <v>0</v>
      </c>
      <c r="J25" s="479">
        <f t="shared" si="10"/>
        <v>58.512895332947231</v>
      </c>
      <c r="K25" s="479">
        <f t="shared" si="11"/>
        <v>0</v>
      </c>
      <c r="L25" s="479">
        <f t="shared" si="12"/>
        <v>0</v>
      </c>
      <c r="M25" s="479">
        <f t="shared" si="13"/>
        <v>0</v>
      </c>
      <c r="N25" s="479">
        <f t="shared" si="14"/>
        <v>0</v>
      </c>
      <c r="O25" s="479">
        <f t="shared" si="15"/>
        <v>0</v>
      </c>
      <c r="P25" s="480">
        <f t="shared" si="16"/>
        <v>0</v>
      </c>
      <c r="Q25" s="478">
        <f t="shared" ca="1" si="17"/>
        <v>17992.168768621537</v>
      </c>
    </row>
    <row r="26" spans="1:17" s="484" customFormat="1">
      <c r="A26" s="482" t="s">
        <v>571</v>
      </c>
      <c r="B26" s="836">
        <f t="shared" ca="1" si="2"/>
        <v>5.917042161112998</v>
      </c>
      <c r="C26" s="483"/>
      <c r="D26" s="483">
        <f t="shared" si="4"/>
        <v>21.275642228678809</v>
      </c>
      <c r="E26" s="483">
        <f t="shared" si="5"/>
        <v>161.36596189605879</v>
      </c>
      <c r="F26" s="483"/>
      <c r="G26" s="483">
        <f t="shared" si="7"/>
        <v>53475.836523383565</v>
      </c>
      <c r="H26" s="483">
        <f t="shared" si="8"/>
        <v>9979.1382027555755</v>
      </c>
      <c r="I26" s="483"/>
      <c r="J26" s="483"/>
      <c r="K26" s="483"/>
      <c r="L26" s="483"/>
      <c r="M26" s="483">
        <f t="shared" si="13"/>
        <v>0</v>
      </c>
      <c r="N26" s="483"/>
      <c r="O26" s="483"/>
      <c r="P26" s="494"/>
      <c r="Q26" s="482">
        <f t="shared" ca="1" si="17"/>
        <v>63643.533372424987</v>
      </c>
    </row>
    <row r="27" spans="1:17">
      <c r="A27" s="478" t="s">
        <v>561</v>
      </c>
      <c r="B27" s="479">
        <f t="shared" ca="1" si="2"/>
        <v>0</v>
      </c>
      <c r="C27" s="479"/>
      <c r="D27" s="483">
        <f t="shared" si="4"/>
        <v>0</v>
      </c>
      <c r="E27" s="479"/>
      <c r="F27" s="479"/>
      <c r="G27" s="479">
        <f t="shared" si="7"/>
        <v>917.11815253742157</v>
      </c>
      <c r="H27" s="479"/>
      <c r="I27" s="479"/>
      <c r="J27" s="479"/>
      <c r="K27" s="479"/>
      <c r="L27" s="479"/>
      <c r="M27" s="479">
        <f t="shared" si="13"/>
        <v>0</v>
      </c>
      <c r="N27" s="479"/>
      <c r="O27" s="479"/>
      <c r="P27" s="480"/>
      <c r="Q27" s="478">
        <f t="shared" ca="1" si="17"/>
        <v>917.11815253742157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25444.586101237004</v>
      </c>
      <c r="C31" s="489">
        <f t="shared" ca="1" si="18"/>
        <v>15.277310924369752</v>
      </c>
      <c r="D31" s="489">
        <f t="shared" ca="1" si="18"/>
        <v>37648.938580313246</v>
      </c>
      <c r="E31" s="489">
        <f t="shared" si="18"/>
        <v>1538.2045946843155</v>
      </c>
      <c r="F31" s="489">
        <f t="shared" ca="1" si="18"/>
        <v>39513.711426196292</v>
      </c>
      <c r="G31" s="489">
        <f t="shared" si="18"/>
        <v>54392.954675920984</v>
      </c>
      <c r="H31" s="489">
        <f t="shared" si="18"/>
        <v>9979.1382027555755</v>
      </c>
      <c r="I31" s="489">
        <f t="shared" si="18"/>
        <v>0</v>
      </c>
      <c r="J31" s="489">
        <f t="shared" si="18"/>
        <v>93.107320961998965</v>
      </c>
      <c r="K31" s="489">
        <f t="shared" si="18"/>
        <v>0</v>
      </c>
      <c r="L31" s="489">
        <f t="shared" ca="1" si="18"/>
        <v>0</v>
      </c>
      <c r="M31" s="489">
        <f t="shared" si="18"/>
        <v>0</v>
      </c>
      <c r="N31" s="489">
        <f t="shared" ca="1" si="18"/>
        <v>0</v>
      </c>
      <c r="O31" s="489">
        <f t="shared" si="18"/>
        <v>0</v>
      </c>
      <c r="P31" s="490">
        <f t="shared" si="18"/>
        <v>0</v>
      </c>
      <c r="Q31" s="490">
        <f t="shared" ca="1" si="18"/>
        <v>168625.91821299377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0.16346889910060722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0.16346889910060722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0.16346889910060722</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2019-01-01T21:34:11Z</dcterms:modified>
</cp:coreProperties>
</file>