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8" i="17"/>
  <c r="J15" i="16"/>
  <c r="L16"/>
  <c r="L18" s="1"/>
  <c r="L8" i="48" s="1"/>
  <c r="F16" i="16"/>
  <c r="D13" i="15"/>
  <c r="C13"/>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B12" i="48"/>
  <c r="Q12" s="1"/>
  <c r="O9" i="14"/>
  <c r="B7" i="15"/>
  <c r="O5" i="16"/>
  <c r="B38" i="13"/>
  <c r="B50" s="1"/>
  <c r="B11" i="15"/>
  <c r="B11" i="16"/>
  <c r="J9" i="14"/>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M13" i="14" l="1"/>
  <c r="J12" i="17"/>
  <c r="K48" i="14" s="1"/>
  <c r="J15"/>
  <c r="J23" s="1"/>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I31"/>
  <c r="C50" i="13"/>
  <c r="J5" s="1"/>
  <c r="J8" s="1"/>
  <c r="C5" i="48"/>
  <c r="G14" i="22" l="1"/>
  <c r="G9" i="48" s="1"/>
  <c r="N7"/>
  <c r="N24" s="1"/>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Q55" i="14"/>
  <c r="P55"/>
  <c r="N5" i="16"/>
  <c r="F5" i="48"/>
  <c r="F22" s="1"/>
  <c r="E5" i="16"/>
  <c r="J5"/>
  <c r="C35" i="13"/>
  <c r="F5" i="16"/>
  <c r="C36" i="13"/>
  <c r="O22" i="48"/>
  <c r="N12" i="13"/>
  <c r="O37" i="14" s="1"/>
  <c r="O11"/>
  <c r="C38" i="13"/>
  <c r="C39"/>
  <c r="C32"/>
  <c r="C34"/>
  <c r="E4" i="48"/>
  <c r="E21" s="1"/>
  <c r="F11" i="14"/>
  <c r="J4" i="48"/>
  <c r="J12" i="13"/>
  <c r="K37" i="14" s="1"/>
  <c r="K11"/>
  <c r="N5" i="48"/>
  <c r="L20" i="15"/>
  <c r="B22" i="6" l="1"/>
  <c r="C17" i="49" s="1"/>
  <c r="E5" i="48"/>
  <c r="E22" s="1"/>
  <c r="R22" i="14"/>
  <c r="E20" i="15"/>
  <c r="F36" i="14" s="1"/>
  <c r="O31" i="48"/>
  <c r="F18" i="16"/>
  <c r="G13" i="14" s="1"/>
  <c r="G15" s="1"/>
  <c r="G23" s="1"/>
  <c r="M16" i="18"/>
  <c r="M19" s="1"/>
  <c r="K10" i="14"/>
  <c r="R10" s="1"/>
  <c r="J18" i="16"/>
  <c r="J22" s="1"/>
  <c r="K39" i="14" s="1"/>
  <c r="Q7" i="48"/>
  <c r="E8"/>
  <c r="E25"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56" i="22"/>
  <c r="C58" s="1"/>
  <c r="D44" i="14" s="1"/>
  <c r="D46" s="1"/>
  <c r="Q5" i="48"/>
  <c r="O13" i="14"/>
  <c r="O15" s="1"/>
  <c r="F22" i="16"/>
  <c r="G39" i="14" s="1"/>
  <c r="G41" s="1"/>
  <c r="N22" i="16"/>
  <c r="O39" i="14" s="1"/>
  <c r="O41" s="1"/>
  <c r="F8" i="48"/>
  <c r="Q4"/>
  <c r="N22"/>
  <c r="R11" i="14"/>
  <c r="J21" i="48"/>
  <c r="C16" i="22" l="1"/>
  <c r="C10" i="13"/>
  <c r="C16" i="48" s="1"/>
  <c r="C28" s="1"/>
  <c r="K13" i="14"/>
  <c r="K15" s="1"/>
  <c r="K23" s="1"/>
  <c r="E31" i="48"/>
  <c r="C18" i="15"/>
  <c r="C20" s="1"/>
  <c r="D36" i="14" s="1"/>
  <c r="C20" i="16"/>
  <c r="C22" s="1"/>
  <c r="D39" i="14" s="1"/>
  <c r="C17" i="19"/>
  <c r="C19" s="1"/>
  <c r="D35" i="14" s="1"/>
  <c r="C29" i="20"/>
  <c r="J8" i="48"/>
  <c r="J25" s="1"/>
  <c r="J31" s="1"/>
  <c r="N25"/>
  <c r="N31" s="1"/>
  <c r="N14"/>
  <c r="K41" i="14"/>
  <c r="K53" s="1"/>
  <c r="E14" i="48"/>
  <c r="H55" i="14"/>
  <c r="E55"/>
  <c r="C78"/>
  <c r="C81" s="1"/>
  <c r="R19"/>
  <c r="R20" s="1"/>
  <c r="H14" i="48"/>
  <c r="G31"/>
  <c r="H26"/>
  <c r="H31" s="1"/>
  <c r="F55" i="14"/>
  <c r="O53"/>
  <c r="G53"/>
  <c r="G55" s="1"/>
  <c r="O69" s="1"/>
  <c r="B9" i="6" s="1"/>
  <c r="B12" s="1"/>
  <c r="M53" i="14"/>
  <c r="M55" s="1"/>
  <c r="C22" i="48"/>
  <c r="C25"/>
  <c r="F25"/>
  <c r="F31" s="1"/>
  <c r="F14"/>
  <c r="C21" l="1"/>
  <c r="C31" s="1"/>
  <c r="J14"/>
  <c r="R13" i="14"/>
  <c r="R15" s="1"/>
  <c r="R23" s="1"/>
  <c r="Q8" i="48"/>
  <c r="Q14" s="1"/>
  <c r="K55" i="14"/>
  <c r="C12" i="13"/>
  <c r="D37" i="14" s="1"/>
  <c r="D41" s="1"/>
  <c r="C24" i="48"/>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<sst xmlns="http://schemas.openxmlformats.org/spreadsheetml/2006/main" count="2146" uniqueCount="877">
  <si>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</si>
  <si>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</si>
  <si>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</si>
  <si>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</si>
  <si>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</si>
  <si>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</si>
  <si>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</si>
  <si>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</si>
  <si>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</si>
  <si>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</si>
  <si>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</si>
  <si>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</si>
  <si>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</si>
  <si>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</si>
  <si>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</si>
  <si>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</si>
  <si>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</si>
  <si>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</si>
  <si>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</si>
  <si>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</si>
  <si>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</si>
  <si>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</si>
  <si>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</si>
  <si>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</si>
  <si>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</si>
  <si>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</si>
  <si>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</si>
  <si>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</si>
  <si>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</si>
  <si>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</si>
  <si>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</si>
  <si>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</si>
  <si>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</si>
  <si>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</si>
  <si>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</si>
  <si>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</si>
  <si>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</si>
  <si>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</si>
  <si>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</si>
  <si>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</si>
  <si>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</si>
  <si>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</si>
  <si>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</si>
  <si>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</si>
  <si>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</si>
  <si>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</si>
  <si>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</si>
  <si>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</si>
  <si>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</si>
  <si>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</si>
  <si>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</si>
  <si>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</si>
  <si>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</si>
  <si>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</si>
  <si>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</si>
  <si>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</si>
  <si>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</si>
  <si>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</si>
  <si>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</si>
  <si>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</si>
  <si>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</si>
  <si>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</si>
  <si>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</si>
  <si>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</si>
  <si>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</si>
  <si>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</si>
  <si>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</si>
  <si>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</si>
  <si>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</si>
  <si>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</si>
  <si>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</si>
  <si>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</si>
  <si>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</si>
  <si>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</si>
  <si>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</si>
  <si>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</si>
  <si>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</si>
  <si>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</si>
  <si>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</si>
  <si>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</si>
  <si>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</si>
  <si>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</si>
  <si>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</si>
  <si>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</si>
  <si>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</si>
  <si>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</si>
  <si>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</si>
  <si>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</si>
  <si>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</si>
  <si>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</si>
  <si>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</si>
  <si>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</si>
  <si>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</si>
  <si>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</si>
  <si>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</si>
  <si>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</si>
  <si>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</si>
  <si>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</si>
  <si>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</si>
  <si>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</si>
  <si>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</si>
  <si>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</si>
  <si>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</si>
  <si>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</si>
  <si>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</si>
  <si>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</si>
  <si>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</si>
  <si>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</si>
  <si>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</si>
  <si>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</si>
  <si>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</si>
  <si>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</si>
  <si>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</si>
  <si>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</si>
  <si>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</si>
  <si>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</si>
  <si>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</si>
  <si>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</si>
  <si>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</si>
  <si>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</si>
  <si>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</si>
  <si>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</si>
  <si>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</si>
  <si>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</si>
  <si>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</si>
  <si>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</si>
  <si>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</si>
  <si>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</si>
  <si>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</si>
  <si>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</si>
  <si>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</si>
  <si>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</si>
  <si>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</si>
  <si>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</si>
  <si>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</si>
  <si>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</si>
  <si>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</si>
  <si>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</si>
  <si>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</si>
  <si>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</si>
  <si>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</si>
  <si>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</si>
  <si>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</si>
  <si>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</si>
  <si>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</si>
  <si>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</si>
  <si>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</si>
  <si>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</si>
  <si>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</si>
  <si>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</si>
  <si>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</si>
  <si>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</si>
  <si>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</si>
  <si>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</si>
  <si>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</si>
  <si>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</si>
  <si>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</si>
  <si>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</si>
  <si>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</si>
  <si>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</si>
  <si>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</si>
  <si>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</si>
  <si>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</si>
  <si>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</si>
  <si>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</si>
  <si>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</si>
  <si>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</si>
  <si>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</si>
  <si>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</si>
  <si>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</si>
  <si>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</si>
  <si>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</si>
  <si>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</si>
  <si>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</si>
  <si>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</si>
  <si>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</si>
  <si>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</si>
  <si>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</si>
  <si>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</si>
  <si>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</si>
  <si>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</si>
  <si>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</si>
  <si>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</si>
  <si>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</si>
  <si>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</si>
  <si>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</si>
  <si>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</si>
  <si>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</si>
  <si>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</si>
  <si>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</si>
  <si>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</si>
  <si>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</si>
  <si>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</si>
  <si>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</si>
  <si>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</si>
  <si>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</si>
  <si>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</si>
  <si>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</si>
  <si>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</si>
  <si>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</si>
  <si>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</si>
  <si>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</si>
  <si>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</si>
  <si>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</si>
  <si>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</si>
  <si>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</si>
  <si>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</si>
  <si>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</si>
  <si>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</si>
  <si>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</si>
  <si>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</si>
  <si>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</si>
  <si>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</si>
  <si>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</si>
  <si>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</si>
  <si>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</si>
  <si>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</si>
  <si>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</si>
  <si>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</si>
  <si>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</si>
  <si>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</si>
  <si>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</si>
  <si>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</si>
  <si>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</si>
  <si>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</si>
  <si>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</si>
  <si>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</si>
  <si>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</si>
  <si>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</si>
  <si>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</si>
  <si>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</si>
  <si>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</si>
  <si>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</si>
  <si>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</si>
  <si>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</si>
  <si>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</si>
  <si>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</si>
  <si>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</si>
  <si>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</si>
  <si>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</si>
  <si>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</si>
  <si>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</si>
  <si>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</si>
  <si>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</si>
  <si>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</si>
  <si>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</si>
  <si>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</si>
  <si>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</si>
  <si>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</si>
  <si>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</si>
  <si>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</si>
  <si>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</si>
  <si>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</si>
  <si>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</si>
  <si>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</si>
  <si>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</si>
  <si>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</si>
  <si>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</si>
  <si>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</si>
  <si>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</si>
  <si>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</si>
  <si>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</si>
  <si>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</si>
  <si>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</si>
  <si>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</si>
  <si>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</si>
  <si>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</si>
  <si>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</si>
  <si>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</si>
  <si>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</si>
  <si>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</si>
  <si>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</si>
  <si>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</si>
  <si>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</si>
  <si>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</si>
  <si>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</si>
  <si>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</si>
  <si>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</si>
  <si>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</si>
  <si>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</si>
  <si>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</si>
  <si>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</si>
  <si>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</si>
  <si>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</si>
  <si>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</si>
  <si>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</si>
  <si>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</si>
  <si>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</si>
  <si>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</si>
  <si>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</si>
  <si>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</si>
  <si>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</si>
  <si>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</si>
  <si>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</si>
  <si>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</si>
  <si>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</si>
  <si>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</si>
  <si>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</si>
  <si>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</si>
  <si>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</si>
  <si>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</si>
  <si>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</si>
  <si>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</si>
  <si>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</si>
  <si>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</si>
  <si>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</si>
  <si>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</si>
  <si>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</si>
  <si>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</si>
  <si>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</si>
  <si>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</si>
  <si>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</si>
  <si>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</si>
  <si>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</si>
  <si>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</si>
  <si>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</si>
  <si>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</si>
  <si>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</si>
  <si>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</si>
  <si>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</si>
  <si>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</si>
  <si>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</si>
  <si>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</si>
  <si>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</si>
  <si>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</si>
  <si>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</si>
  <si>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</si>
  <si>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</si>
  <si>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</si>
  <si>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</si>
  <si>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</si>
  <si>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</si>
  <si>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</si>
  <si>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</si>
  <si>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</si>
  <si>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</si>
  <si>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</si>
  <si>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</si>
  <si>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</si>
  <si>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</si>
  <si>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</si>
  <si>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</si>
  <si>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</si>
  <si>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</si>
  <si>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</si>
  <si>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</si>
  <si>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</si>
  <si>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</si>
  <si>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</si>
  <si>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</si>
  <si>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</si>
  <si>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</si>
  <si>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</si>
  <si>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</si>
  <si>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</si>
  <si>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</si>
  <si>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</si>
  <si>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</si>
  <si>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</si>
  <si>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</si>
  <si>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</si>
  <si>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</si>
  <si>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</si>
  <si>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</si>
  <si>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</si>
  <si>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</si>
  <si>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</si>
  <si>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</si>
  <si>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</si>
  <si>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</si>
  <si>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</si>
  <si>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</si>
  <si>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</si>
  <si>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</si>
  <si>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</si>
  <si>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</si>
  <si>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</si>
  <si>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</si>
  <si>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</si>
  <si>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</si>
  <si>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</si>
  <si>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</si>
  <si>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</si>
  <si>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</si>
  <si>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</si>
  <si>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</si>
  <si>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</si>
  <si>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</si>
  <si>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</si>
  <si>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</si>
  <si>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</si>
  <si>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</si>
  <si>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</si>
  <si>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</si>
  <si>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</si>
  <si>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</si>
  <si>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</si>
  <si>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</si>
  <si>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</si>
  <si>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</si>
  <si>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</si>
  <si>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</si>
  <si>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</si>
  <si>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</si>
  <si>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</si>
  <si>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</si>
  <si>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</si>
  <si>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</si>
  <si>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</si>
  <si>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</si>
  <si>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</si>
  <si>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</si>
  <si>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</si>
  <si>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</si>
  <si>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</si>
  <si>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</si>
  <si>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</si>
  <si>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</si>
  <si>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</si>
  <si>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</si>
  <si>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</si>
  <si>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</si>
  <si>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</si>
  <si>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</si>
  <si>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</si>
  <si>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</si>
  <si>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</si>
  <si>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</si>
  <si>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</si>
  <si>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</si>
  <si>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</si>
  <si>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</si>
  <si>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</si>
  <si>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</si>
  <si>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</si>
  <si>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</si>
  <si>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</si>
  <si>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</si>
  <si>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</si>
  <si>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</si>
  <si>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</si>
  <si>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</si>
  <si>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</si>
  <si>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</si>
  <si>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</si>
  <si>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</si>
  <si>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</si>
  <si>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</si>
  <si>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</si>
  <si>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</si>
  <si>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</si>
  <si>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</si>
  <si>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</si>
  <si>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</si>
  <si>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</si>
  <si>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</si>
  <si>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</si>
  <si>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</si>
  <si>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</si>
  <si>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</si>
  <si>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</si>
  <si>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</si>
  <si>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</si>
  <si>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</si>
  <si>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</si>
  <si>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</si>
  <si>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</si>
  <si>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</si>
  <si>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</si>
  <si>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</si>
  <si>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</si>
  <si>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</si>
  <si>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</si>
  <si>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</si>
  <si>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</si>
  <si>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</si>
  <si>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</si>
  <si>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</si>
  <si>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</si>
  <si>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</si>
  <si>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</si>
  <si>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</si>
  <si>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</si>
  <si>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</si>
  <si>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</si>
  <si>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</si>
  <si>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</si>
  <si>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</si>
  <si>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</si>
  <si>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</si>
  <si>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</si>
  <si>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</si>
  <si>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</si>
  <si>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</si>
  <si>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</si>
  <si>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</si>
  <si>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</si>
  <si>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</si>
  <si>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</si>
  <si>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</si>
  <si>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</si>
  <si>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</si>
  <si>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</si>
  <si>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</si>
  <si>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</si>
  <si>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</si>
  <si>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</si>
  <si>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</si>
  <si>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</si>
  <si>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</si>
  <si>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</si>
  <si>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</si>
  <si>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</si>
  <si>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</si>
  <si>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</si>
  <si>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</si>
  <si>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</si>
  <si>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</si>
  <si>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</si>
  <si>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</si>
  <si>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</si>
  <si>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</si>
  <si>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</si>
  <si>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</si>
  <si>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</si>
  <si>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</si>
  <si>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</si>
  <si>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</si>
  <si>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</si>
  <si>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</si>
  <si>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</si>
  <si>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</si>
  <si>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</si>
  <si>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</si>
  <si>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</si>
  <si>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</si>
  <si>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</si>
  <si>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</si>
  <si>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</si>
  <si>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</si>
  <si>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</si>
  <si>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</si>
  <si>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</si>
  <si>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</si>
  <si>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</si>
  <si>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</si>
  <si>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</si>
  <si>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</si>
  <si>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</si>
  <si>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</si>
  <si>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</si>
  <si>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</si>
  <si>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</si>
  <si>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</si>
  <si>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</si>
  <si>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</si>
  <si>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</si>
  <si>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</si>
  <si>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</si>
  <si>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</si>
  <si>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</si>
  <si>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</si>
  <si>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</si>
  <si>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</si>
  <si>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</si>
  <si>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</si>
  <si>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</si>
  <si>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</si>
  <si>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</si>
  <si>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</si>
  <si>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</si>
  <si>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</si>
  <si>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</si>
  <si>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</si>
  <si>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</si>
  <si>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</si>
  <si>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</si>
  <si>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</si>
  <si>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</si>
  <si>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</si>
  <si>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</si>
  <si>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</si>
  <si>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</si>
  <si>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</si>
  <si>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</si>
  <si>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</si>
  <si>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</si>
  <si>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</si>
  <si>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</si>
  <si>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</si>
  <si>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</si>
  <si>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</si>
  <si>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</si>
  <si>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</si>
  <si>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</si>
  <si>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</si>
  <si>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</si>
  <si>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</si>
  <si>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</si>
  <si>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</si>
  <si>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</si>
  <si>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</si>
  <si>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</si>
  <si>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</si>
  <si>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</si>
  <si>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</si>
  <si>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</si>
  <si>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</si>
  <si>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</si>
  <si>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</si>
  <si>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</si>
  <si>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</si>
  <si>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</si>
  <si>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</si>
  <si>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</si>
  <si>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</si>
  <si>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</si>
  <si>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</si>
  <si>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</si>
  <si>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</si>
  <si>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</si>
  <si>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</si>
  <si>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</si>
  <si>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</si>
  <si>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</si>
  <si>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</si>
  <si>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</si>
  <si>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</si>
  <si>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</si>
  <si>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</si>
  <si>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</si>
  <si>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</si>
  <si>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</si>
  <si>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</si>
  <si>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</si>
  <si>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</si>
  <si>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</si>
  <si>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</si>
  <si>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</si>
  <si>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</si>
  <si>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</si>
  <si>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</si>
  <si>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</si>
  <si>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</si>
  <si>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</si>
  <si>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</si>
  <si>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</si>
  <si>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</si>
  <si>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</si>
  <si>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</si>
  <si>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</si>
  <si>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</si>
  <si>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</si>
  <si>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</si>
  <si>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</si>
  <si>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</si>
  <si>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</si>
  <si>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</si>
  <si>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</si>
  <si>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</si>
  <si>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</si>
  <si>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</si>
  <si>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</si>
  <si>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</si>
  <si>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</si>
  <si>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</si>
  <si>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</si>
  <si>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</si>
  <si>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</si>
  <si>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</si>
  <si>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</si>
  <si>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</si>
  <si>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</si>
  <si>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</si>
  <si>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</si>
  <si>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</si>
  <si>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</si>
  <si>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</si>
  <si>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</si>
  <si>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</si>
  <si>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</si>
  <si>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</si>
  <si>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</si>
  <si>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</si>
  <si>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</si>
  <si>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</si>
  <si>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</si>
  <si>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</si>
  <si>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</si>
  <si>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</si>
  <si>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</si>
  <si>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</si>
  <si>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</si>
  <si>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</si>
  <si>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</si>
  <si>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</si>
  <si>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</si>
  <si>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</si>
  <si>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</si>
  <si>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</si>
  <si>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</si>
  <si>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</si>
  <si>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</si>
  <si>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</si>
  <si>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</si>
  <si>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</si>
  <si>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</si>
  <si>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</si>
  <si>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</si>
  <si>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</si>
  <si>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</si>
  <si>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</si>
  <si>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</si>
  <si>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</si>
  <si>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</si>
  <si>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</si>
  <si>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</si>
  <si>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</si>
  <si>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</si>
  <si>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</si>
  <si>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</si>
  <si>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</si>
  <si>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</si>
  <si>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</si>
  <si>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</si>
  <si>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</si>
  <si>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</si>
  <si>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</si>
  <si>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</si>
  <si>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</si>
  <si>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</si>
  <si>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</si>
  <si>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</si>
  <si>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</si>
  <si>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</si>
  <si>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</si>
  <si>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</si>
  <si>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</si>
  <si>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</si>
  <si>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</si>
  <si>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</si>
  <si>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</si>
  <si>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</si>
  <si>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</si>
  <si>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</si>
  <si>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</si>
  <si>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</si>
  <si>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</si>
  <si>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</si>
  <si>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</si>
  <si>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</si>
  <si>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</si>
  <si>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</si>
  <si>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</si>
  <si>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</si>
  <si>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</si>
  <si>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</si>
  <si>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</si>
  <si>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</si>
  <si>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</si>
  <si>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</si>
  <si>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</si>
  <si>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</si>
  <si>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</si>
  <si>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</si>
  <si>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</si>
  <si>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</si>
  <si>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</si>
  <si>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</si>
  <si>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</si>
  <si>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</si>
  <si>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</si>
  <si>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</si>
  <si>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</si>
  <si>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</si>
  <si>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</si>
  <si>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</si>
  <si>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</si>
  <si>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</si>
  <si>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</si>
  <si>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</si>
  <si>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</si>
  <si>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</si>
  <si>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</si>
  <si>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</si>
  <si>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</si>
  <si>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</si>
  <si>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</si>
  <si>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</si>
  <si>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</si>
  <si>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</si>
  <si>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</si>
  <si>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</si>
  <si>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</si>
  <si>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</si>
  <si>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</si>
  <si>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</si>
  <si>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</si>
  <si>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</si>
  <si>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</si>
  <si>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</si>
  <si>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</si>
  <si>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</si>
  <si>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</si>
  <si>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</si>
  <si>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</si>
  <si>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</si>
  <si>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</si>
  <si>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</si>
  <si>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</si>
  <si>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</si>
  <si>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</si>
  <si>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</si>
  <si>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</si>
  <si>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</si>
  <si>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</si>
  <si>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</si>
  <si>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</si>
  <si>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</si>
  <si>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</si>
  <si>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</si>
  <si>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</si>
  <si>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</si>
  <si>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</si>
  <si>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</si>
  <si>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</si>
  <si>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</si>
  <si>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</si>
  <si>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</si>
  <si>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</si>
  <si>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</si>
  <si>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</si>
  <si>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</si>
  <si>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</si>
  <si>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</si>
  <si>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</si>
  <si>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</si>
  <si>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</si>
  <si>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</si>
  <si>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</si>
  <si>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</si>
  <si>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</si>
  <si>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</si>
  <si>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</si>
  <si>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</si>
  <si>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</si>
  <si>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</si>
  <si>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</si>
  <si>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</si>
  <si>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</si>
  <si>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</si>
  <si>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</si>
  <si>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</si>
  <si>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</si>
  <si>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</si>
  <si>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</si>
  <si>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</si>
  <si>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</si>
  <si>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</si>
  <si>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</si>
  <si>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</si>
  <si>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</si>
  <si>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</si>
  <si>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46025</t>
  </si>
  <si>
    <t>TEMSE</t>
  </si>
  <si>
    <t>Paarden&amp;pony's 200 - 600 kg</t>
  </si>
  <si>
    <t>Paarden&amp;pony's &lt; 200 kg</t>
  </si>
  <si>
    <t>referentietaak LNE (2017); Jaarverslag De Lijn (2014)</t>
  </si>
  <si>
    <t>op basis van VEA (maart 2018) en Inventaris Hernieuwbare Energiebronnen (juni 2018)</t>
  </si>
  <si>
    <t>VEA (maart 2016)</t>
  </si>
  <si>
    <t>VEA (juni 2018)</t>
  </si>
  <si>
    <t>Kris Heirbaut LV</t>
  </si>
  <si>
    <t>Veldstraat 218 , 9140 Temse</t>
  </si>
  <si>
    <t>WKK-0488 Kris Heirbaut</t>
  </si>
  <si>
    <t>interne verbrandingsmotor</t>
  </si>
  <si>
    <t>WKK interne verbrandinsgmotor (gas)</t>
  </si>
  <si>
    <t>INTERGEM</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</si>
</sst>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189105.53661874859</c:v>
                </c:pt>
                <c:pt idx="1">
                  <c:v>85266.982060693364</c:v>
                </c:pt>
                <c:pt idx="2">
                  <c:v>1577.663</c:v>
                </c:pt>
                <c:pt idx="3">
                  <c:v>11418.745152224006</c:v>
                </c:pt>
                <c:pt idx="4">
                  <c:v>97218.018300749594</c:v>
                </c:pt>
                <c:pt idx="5">
                  <c:v>329095.43435278826</c:v>
                </c:pt>
                <c:pt idx="6">
                  <c:v>2396.9305139604594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65748096"/>
        <c:axId val="165749888"/>
      </c:barChart>
      <c:catAx>
        <c:axId val="165748096"/>
        <c:scaling>
          <c:orientation val="minMax"/>
        </c:scaling>
        <c:axPos val="b"/>
        <c:numFmt formatCode="General" sourceLinked="0"/>
        <c:tickLblPos val="nextTo"/>
        <c:crossAx val="165749888"/>
        <c:crosses val="autoZero"/>
        <c:auto val="1"/>
        <c:lblAlgn val="ctr"/>
        <c:lblOffset val="100"/>
      </c:catAx>
      <c:valAx>
        <c:axId val="165749888"/>
        <c:scaling>
          <c:orientation val="minMax"/>
        </c:scaling>
        <c:axPos val="l"/>
        <c:majorGridlines/>
        <c:numFmt formatCode="#,##0" sourceLinked="1"/>
        <c:tickLblPos val="nextTo"/>
        <c:crossAx val="1657480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189105.53661874859</c:v>
                </c:pt>
                <c:pt idx="1">
                  <c:v>85266.982060693364</c:v>
                </c:pt>
                <c:pt idx="2">
                  <c:v>1577.663</c:v>
                </c:pt>
                <c:pt idx="3">
                  <c:v>11418.745152224006</c:v>
                </c:pt>
                <c:pt idx="4">
                  <c:v>97218.018300749594</c:v>
                </c:pt>
                <c:pt idx="5">
                  <c:v>329095.43435278826</c:v>
                </c:pt>
                <c:pt idx="6">
                  <c:v>2396.9305139604594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34334.167828551297</c:v>
                </c:pt>
                <c:pt idx="1">
                  <c:v>16605.781342919723</c:v>
                </c:pt>
                <c:pt idx="2">
                  <c:v>306.9356978076479</c:v>
                </c:pt>
                <c:pt idx="3">
                  <c:v>2545.1183225810678</c:v>
                </c:pt>
                <c:pt idx="4">
                  <c:v>18830.994820588894</c:v>
                </c:pt>
                <c:pt idx="5">
                  <c:v>82550.751409075179</c:v>
                </c:pt>
                <c:pt idx="6">
                  <c:v>605.45321534763423</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0119808"/>
        <c:axId val="180187136"/>
      </c:barChart>
      <c:catAx>
        <c:axId val="180119808"/>
        <c:scaling>
          <c:orientation val="minMax"/>
        </c:scaling>
        <c:axPos val="b"/>
        <c:numFmt formatCode="General" sourceLinked="0"/>
        <c:tickLblPos val="nextTo"/>
        <c:crossAx val="180187136"/>
        <c:crosses val="autoZero"/>
        <c:auto val="1"/>
        <c:lblAlgn val="ctr"/>
        <c:lblOffset val="100"/>
      </c:catAx>
      <c:valAx>
        <c:axId val="180187136"/>
        <c:scaling>
          <c:orientation val="minMax"/>
        </c:scaling>
        <c:axPos val="l"/>
        <c:majorGridlines/>
        <c:numFmt formatCode="#,##0" sourceLinked="1"/>
        <c:tickLblPos val="nextTo"/>
        <c:crossAx val="1801198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34334.167828551297</c:v>
                </c:pt>
                <c:pt idx="1">
                  <c:v>16605.781342919723</c:v>
                </c:pt>
                <c:pt idx="2">
                  <c:v>306.9356978076479</c:v>
                </c:pt>
                <c:pt idx="3">
                  <c:v>2545.1183225810678</c:v>
                </c:pt>
                <c:pt idx="4">
                  <c:v>18830.994820588894</c:v>
                </c:pt>
                <c:pt idx="5">
                  <c:v>82550.751409075179</c:v>
                </c:pt>
                <c:pt idx="6">
                  <c:v>605.45321534763423</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46025</v>
      </c>
      <c r="B6" s="416"/>
      <c r="C6" s="417"/>
    </row>
    <row r="7" spans="1:7" s="414" customFormat="1" ht="15.75" customHeight="1">
      <c r="A7" s="418" t="str">
        <f>txtMunicipality</f>
        <v>TEMSE</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46025</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11945</v>
      </c>
      <c r="C9" s="342">
        <v>12726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1834</v>
      </c>
    </row>
    <row r="15" spans="1:6">
      <c r="A15" s="348" t="s">
        <v>184</v>
      </c>
      <c r="B15" s="334">
        <v>533</v>
      </c>
    </row>
    <row r="16" spans="1:6">
      <c r="A16" s="348" t="s">
        <v>6</v>
      </c>
      <c r="B16" s="334">
        <v>1116</v>
      </c>
    </row>
    <row r="17" spans="1:6">
      <c r="A17" s="348" t="s">
        <v>7</v>
      </c>
      <c r="B17" s="334">
        <v>675</v>
      </c>
    </row>
    <row r="18" spans="1:6">
      <c r="A18" s="348" t="s">
        <v>8</v>
      </c>
      <c r="B18" s="334">
        <v>1101</v>
      </c>
    </row>
    <row r="19" spans="1:6">
      <c r="A19" s="348" t="s">
        <v>9</v>
      </c>
      <c r="B19" s="334">
        <v>990</v>
      </c>
    </row>
    <row r="20" spans="1:6">
      <c r="A20" s="348" t="s">
        <v>10</v>
      </c>
      <c r="B20" s="334">
        <v>647</v>
      </c>
    </row>
    <row r="21" spans="1:6">
      <c r="A21" s="348" t="s">
        <v>11</v>
      </c>
      <c r="B21" s="334">
        <v>4615</v>
      </c>
    </row>
    <row r="22" spans="1:6">
      <c r="A22" s="348" t="s">
        <v>12</v>
      </c>
      <c r="B22" s="334">
        <v>9498</v>
      </c>
    </row>
    <row r="23" spans="1:6">
      <c r="A23" s="348" t="s">
        <v>13</v>
      </c>
      <c r="B23" s="334">
        <v>226</v>
      </c>
    </row>
    <row r="24" spans="1:6">
      <c r="A24" s="348" t="s">
        <v>14</v>
      </c>
      <c r="B24" s="334">
        <v>13</v>
      </c>
    </row>
    <row r="25" spans="1:6">
      <c r="A25" s="348" t="s">
        <v>15</v>
      </c>
      <c r="B25" s="334">
        <v>1335</v>
      </c>
    </row>
    <row r="26" spans="1:6">
      <c r="A26" s="348" t="s">
        <v>16</v>
      </c>
      <c r="B26" s="334">
        <v>210</v>
      </c>
    </row>
    <row r="27" spans="1:6">
      <c r="A27" s="348" t="s">
        <v>17</v>
      </c>
      <c r="B27" s="334">
        <v>0</v>
      </c>
    </row>
    <row r="28" spans="1:6" s="356" customFormat="1">
      <c r="A28" s="355" t="s">
        <v>18</v>
      </c>
      <c r="B28" s="355">
        <v>53376</v>
      </c>
    </row>
    <row r="29" spans="1:6">
      <c r="A29" s="355" t="s">
        <v>865</v>
      </c>
      <c r="B29" s="355">
        <v>155</v>
      </c>
      <c r="C29" s="356"/>
      <c r="D29" s="356"/>
      <c r="E29" s="356"/>
      <c r="F29" s="356"/>
    </row>
    <row r="30" spans="1:6">
      <c r="A30" s="341" t="s">
        <v>866</v>
      </c>
      <c r="B30" s="341">
        <v>29</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6</v>
      </c>
      <c r="F36" s="334">
        <v>20137</v>
      </c>
    </row>
    <row r="37" spans="1:6">
      <c r="A37" s="348" t="s">
        <v>25</v>
      </c>
      <c r="B37" s="348" t="s">
        <v>28</v>
      </c>
      <c r="C37" s="334">
        <v>0</v>
      </c>
      <c r="D37" s="334">
        <v>0</v>
      </c>
      <c r="E37" s="334">
        <v>0</v>
      </c>
      <c r="F37" s="334">
        <v>0</v>
      </c>
    </row>
    <row r="38" spans="1:6">
      <c r="A38" s="348" t="s">
        <v>25</v>
      </c>
      <c r="B38" s="348" t="s">
        <v>29</v>
      </c>
      <c r="C38" s="334">
        <v>1</v>
      </c>
      <c r="D38" s="334">
        <v>165402.39155176701</v>
      </c>
      <c r="E38" s="334">
        <v>1</v>
      </c>
      <c r="F38" s="334">
        <v>5850</v>
      </c>
    </row>
    <row r="39" spans="1:6">
      <c r="A39" s="348" t="s">
        <v>30</v>
      </c>
      <c r="B39" s="348" t="s">
        <v>31</v>
      </c>
      <c r="C39" s="334">
        <v>8932</v>
      </c>
      <c r="D39" s="334">
        <v>122546641.900038</v>
      </c>
      <c r="E39" s="334">
        <v>11676</v>
      </c>
      <c r="F39" s="334">
        <v>46665954</v>
      </c>
    </row>
    <row r="40" spans="1:6">
      <c r="A40" s="348" t="s">
        <v>30</v>
      </c>
      <c r="B40" s="348" t="s">
        <v>29</v>
      </c>
      <c r="C40" s="334">
        <v>0</v>
      </c>
      <c r="D40" s="334">
        <v>0</v>
      </c>
      <c r="E40" s="334">
        <v>0</v>
      </c>
      <c r="F40" s="334">
        <v>0</v>
      </c>
    </row>
    <row r="41" spans="1:6">
      <c r="A41" s="348" t="s">
        <v>32</v>
      </c>
      <c r="B41" s="348" t="s">
        <v>33</v>
      </c>
      <c r="C41" s="334">
        <v>118</v>
      </c>
      <c r="D41" s="334">
        <v>5794590.1696392298</v>
      </c>
      <c r="E41" s="334">
        <v>238</v>
      </c>
      <c r="F41" s="334">
        <v>3744701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10</v>
      </c>
      <c r="D44" s="334">
        <v>771851.78263541695</v>
      </c>
      <c r="E44" s="334">
        <v>26</v>
      </c>
      <c r="F44" s="334">
        <v>1640707</v>
      </c>
    </row>
    <row r="45" spans="1:6">
      <c r="A45" s="348" t="s">
        <v>32</v>
      </c>
      <c r="B45" s="348" t="s">
        <v>37</v>
      </c>
      <c r="C45" s="334">
        <v>0</v>
      </c>
      <c r="D45" s="334">
        <v>0</v>
      </c>
      <c r="E45" s="334">
        <v>4</v>
      </c>
      <c r="F45" s="334">
        <v>239474.4</v>
      </c>
    </row>
    <row r="46" spans="1:6">
      <c r="A46" s="348" t="s">
        <v>32</v>
      </c>
      <c r="B46" s="348" t="s">
        <v>38</v>
      </c>
      <c r="C46" s="334">
        <v>0</v>
      </c>
      <c r="D46" s="334">
        <v>0</v>
      </c>
      <c r="E46" s="334">
        <v>0</v>
      </c>
      <c r="F46" s="334">
        <v>0</v>
      </c>
    </row>
    <row r="47" spans="1:6">
      <c r="A47" s="348" t="s">
        <v>32</v>
      </c>
      <c r="B47" s="348" t="s">
        <v>39</v>
      </c>
      <c r="C47" s="334">
        <v>4</v>
      </c>
      <c r="D47" s="334">
        <v>72463.871791266502</v>
      </c>
      <c r="E47" s="334">
        <v>5</v>
      </c>
      <c r="F47" s="334">
        <v>47676.59</v>
      </c>
    </row>
    <row r="48" spans="1:6">
      <c r="A48" s="348" t="s">
        <v>32</v>
      </c>
      <c r="B48" s="348" t="s">
        <v>29</v>
      </c>
      <c r="C48" s="334">
        <v>57</v>
      </c>
      <c r="D48" s="334">
        <v>18582951.983021799</v>
      </c>
      <c r="E48" s="334">
        <v>59</v>
      </c>
      <c r="F48" s="334">
        <v>28456669</v>
      </c>
    </row>
    <row r="49" spans="1:6">
      <c r="A49" s="348" t="s">
        <v>32</v>
      </c>
      <c r="B49" s="348" t="s">
        <v>40</v>
      </c>
      <c r="C49" s="334">
        <v>3</v>
      </c>
      <c r="D49" s="334">
        <v>117630.982909707</v>
      </c>
      <c r="E49" s="334">
        <v>8</v>
      </c>
      <c r="F49" s="334">
        <v>996954</v>
      </c>
    </row>
    <row r="50" spans="1:6">
      <c r="A50" s="348" t="s">
        <v>32</v>
      </c>
      <c r="B50" s="348" t="s">
        <v>41</v>
      </c>
      <c r="C50" s="334">
        <v>23</v>
      </c>
      <c r="D50" s="334">
        <v>3464627.8861670299</v>
      </c>
      <c r="E50" s="334">
        <v>32</v>
      </c>
      <c r="F50" s="334">
        <v>4879202</v>
      </c>
    </row>
    <row r="51" spans="1:6">
      <c r="A51" s="348" t="s">
        <v>42</v>
      </c>
      <c r="B51" s="348" t="s">
        <v>43</v>
      </c>
      <c r="C51" s="334">
        <v>8</v>
      </c>
      <c r="D51" s="334">
        <v>136609.564598233</v>
      </c>
      <c r="E51" s="334">
        <v>86</v>
      </c>
      <c r="F51" s="334">
        <v>1291675</v>
      </c>
    </row>
    <row r="52" spans="1:6">
      <c r="A52" s="348" t="s">
        <v>42</v>
      </c>
      <c r="B52" s="348" t="s">
        <v>29</v>
      </c>
      <c r="C52" s="334">
        <v>6</v>
      </c>
      <c r="D52" s="334">
        <v>129783.35460744701</v>
      </c>
      <c r="E52" s="334">
        <v>8</v>
      </c>
      <c r="F52" s="334">
        <v>95748.43</v>
      </c>
    </row>
    <row r="53" spans="1:6">
      <c r="A53" s="348" t="s">
        <v>44</v>
      </c>
      <c r="B53" s="348" t="s">
        <v>45</v>
      </c>
      <c r="C53" s="334">
        <v>231</v>
      </c>
      <c r="D53" s="334">
        <v>6632995.81820009</v>
      </c>
      <c r="E53" s="334">
        <v>462</v>
      </c>
      <c r="F53" s="334">
        <v>1856624</v>
      </c>
    </row>
    <row r="54" spans="1:6">
      <c r="A54" s="348" t="s">
        <v>46</v>
      </c>
      <c r="B54" s="348" t="s">
        <v>47</v>
      </c>
      <c r="C54" s="334">
        <v>0</v>
      </c>
      <c r="D54" s="334">
        <v>0</v>
      </c>
      <c r="E54" s="334">
        <v>1</v>
      </c>
      <c r="F54" s="334">
        <v>1577663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98</v>
      </c>
      <c r="D57" s="334">
        <v>6434022.8420093004</v>
      </c>
      <c r="E57" s="334">
        <v>181</v>
      </c>
      <c r="F57" s="334">
        <v>3805081</v>
      </c>
    </row>
    <row r="58" spans="1:6">
      <c r="A58" s="348" t="s">
        <v>49</v>
      </c>
      <c r="B58" s="348" t="s">
        <v>51</v>
      </c>
      <c r="C58" s="334">
        <v>26</v>
      </c>
      <c r="D58" s="334">
        <v>2570386.0741518601</v>
      </c>
      <c r="E58" s="334">
        <v>45</v>
      </c>
      <c r="F58" s="334">
        <v>1212950</v>
      </c>
    </row>
    <row r="59" spans="1:6">
      <c r="A59" s="348" t="s">
        <v>49</v>
      </c>
      <c r="B59" s="348" t="s">
        <v>52</v>
      </c>
      <c r="C59" s="334">
        <v>217</v>
      </c>
      <c r="D59" s="334">
        <v>11482225.032348501</v>
      </c>
      <c r="E59" s="334">
        <v>383</v>
      </c>
      <c r="F59" s="334">
        <v>14483583</v>
      </c>
    </row>
    <row r="60" spans="1:6">
      <c r="A60" s="348" t="s">
        <v>49</v>
      </c>
      <c r="B60" s="348" t="s">
        <v>53</v>
      </c>
      <c r="C60" s="334">
        <v>75</v>
      </c>
      <c r="D60" s="334">
        <v>2643551.3896687101</v>
      </c>
      <c r="E60" s="334">
        <v>90</v>
      </c>
      <c r="F60" s="334">
        <v>1878335</v>
      </c>
    </row>
    <row r="61" spans="1:6">
      <c r="A61" s="348" t="s">
        <v>49</v>
      </c>
      <c r="B61" s="348" t="s">
        <v>54</v>
      </c>
      <c r="C61" s="334">
        <v>231</v>
      </c>
      <c r="D61" s="334">
        <v>9073029.9309887793</v>
      </c>
      <c r="E61" s="334">
        <v>474</v>
      </c>
      <c r="F61" s="334">
        <v>12166159</v>
      </c>
    </row>
    <row r="62" spans="1:6">
      <c r="A62" s="348" t="s">
        <v>49</v>
      </c>
      <c r="B62" s="348" t="s">
        <v>55</v>
      </c>
      <c r="C62" s="334">
        <v>13</v>
      </c>
      <c r="D62" s="334">
        <v>1164409.8703625801</v>
      </c>
      <c r="E62" s="334">
        <v>18</v>
      </c>
      <c r="F62" s="334">
        <v>548098.6</v>
      </c>
    </row>
    <row r="63" spans="1:6">
      <c r="A63" s="348" t="s">
        <v>49</v>
      </c>
      <c r="B63" s="348" t="s">
        <v>29</v>
      </c>
      <c r="C63" s="334">
        <v>96</v>
      </c>
      <c r="D63" s="334">
        <v>6802951.3420598796</v>
      </c>
      <c r="E63" s="334">
        <v>100</v>
      </c>
      <c r="F63" s="334">
        <v>5544856</v>
      </c>
    </row>
    <row r="64" spans="1:6">
      <c r="A64" s="348" t="s">
        <v>56</v>
      </c>
      <c r="B64" s="348" t="s">
        <v>57</v>
      </c>
      <c r="C64" s="334">
        <v>0</v>
      </c>
      <c r="D64" s="334">
        <v>0</v>
      </c>
      <c r="E64" s="334">
        <v>0</v>
      </c>
      <c r="F64" s="334">
        <v>0</v>
      </c>
    </row>
    <row r="65" spans="1:6">
      <c r="A65" s="348" t="s">
        <v>56</v>
      </c>
      <c r="B65" s="348" t="s">
        <v>29</v>
      </c>
      <c r="C65" s="334">
        <v>6</v>
      </c>
      <c r="D65" s="334">
        <v>124410.508971016</v>
      </c>
      <c r="E65" s="334">
        <v>4</v>
      </c>
      <c r="F65" s="334">
        <v>45332.28</v>
      </c>
    </row>
    <row r="66" spans="1:6">
      <c r="A66" s="348" t="s">
        <v>56</v>
      </c>
      <c r="B66" s="348" t="s">
        <v>58</v>
      </c>
      <c r="C66" s="334">
        <v>0</v>
      </c>
      <c r="D66" s="334">
        <v>0</v>
      </c>
      <c r="E66" s="334">
        <v>17</v>
      </c>
      <c r="F66" s="334">
        <v>619570.19999999995</v>
      </c>
    </row>
    <row r="67" spans="1:6">
      <c r="A67" s="355" t="s">
        <v>56</v>
      </c>
      <c r="B67" s="355" t="s">
        <v>59</v>
      </c>
      <c r="C67" s="334">
        <v>0</v>
      </c>
      <c r="D67" s="334">
        <v>0</v>
      </c>
      <c r="E67" s="334">
        <v>0</v>
      </c>
      <c r="F67" s="334">
        <v>0</v>
      </c>
    </row>
    <row r="68" spans="1:6">
      <c r="A68" s="341" t="s">
        <v>56</v>
      </c>
      <c r="B68" s="341" t="s">
        <v>60</v>
      </c>
      <c r="C68" s="334">
        <v>10</v>
      </c>
      <c r="D68" s="334">
        <v>765966.78907907801</v>
      </c>
      <c r="E68" s="334">
        <v>21</v>
      </c>
      <c r="F68" s="334">
        <v>842445.5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99301715</v>
      </c>
      <c r="E73" s="477">
        <v>102920573.12230289</v>
      </c>
    </row>
    <row r="74" spans="1:6">
      <c r="A74" s="348" t="s">
        <v>64</v>
      </c>
      <c r="B74" s="348" t="s">
        <v>714</v>
      </c>
      <c r="C74" s="1288" t="s">
        <v>716</v>
      </c>
      <c r="D74" s="477">
        <v>10661715.470519146</v>
      </c>
      <c r="E74" s="477">
        <v>10834531.755290778</v>
      </c>
    </row>
    <row r="75" spans="1:6">
      <c r="A75" s="348" t="s">
        <v>65</v>
      </c>
      <c r="B75" s="348" t="s">
        <v>713</v>
      </c>
      <c r="C75" s="1288" t="s">
        <v>717</v>
      </c>
      <c r="D75" s="477">
        <v>74089311</v>
      </c>
      <c r="E75" s="477">
        <v>78300363.130996123</v>
      </c>
    </row>
    <row r="76" spans="1:6">
      <c r="A76" s="348" t="s">
        <v>65</v>
      </c>
      <c r="B76" s="348" t="s">
        <v>714</v>
      </c>
      <c r="C76" s="1288" t="s">
        <v>718</v>
      </c>
      <c r="D76" s="477">
        <v>3523165.4705191469</v>
      </c>
      <c r="E76" s="477">
        <v>3622140.2443073476</v>
      </c>
    </row>
    <row r="77" spans="1:6">
      <c r="A77" s="348" t="s">
        <v>66</v>
      </c>
      <c r="B77" s="348" t="s">
        <v>713</v>
      </c>
      <c r="C77" s="1288" t="s">
        <v>719</v>
      </c>
      <c r="D77" s="477">
        <v>121583846</v>
      </c>
      <c r="E77" s="477">
        <v>131080361.03167737</v>
      </c>
    </row>
    <row r="78" spans="1:6">
      <c r="A78" s="341" t="s">
        <v>66</v>
      </c>
      <c r="B78" s="341" t="s">
        <v>714</v>
      </c>
      <c r="C78" s="341" t="s">
        <v>720</v>
      </c>
      <c r="D78" s="1284">
        <v>30795731</v>
      </c>
      <c r="E78" s="1284">
        <v>32600514.178485975</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640517.05896170659</v>
      </c>
      <c r="C83" s="477">
        <v>649878.70788050245</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4861.789540047067</v>
      </c>
    </row>
    <row r="92" spans="1:6">
      <c r="A92" s="341" t="s">
        <v>69</v>
      </c>
      <c r="B92" s="342">
        <v>11152.861383087937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5711</v>
      </c>
    </row>
    <row r="98" spans="1:6">
      <c r="A98" s="348" t="s">
        <v>72</v>
      </c>
      <c r="B98" s="334">
        <v>8</v>
      </c>
    </row>
    <row r="99" spans="1:6">
      <c r="A99" s="348" t="s">
        <v>73</v>
      </c>
      <c r="B99" s="334">
        <v>124</v>
      </c>
    </row>
    <row r="100" spans="1:6">
      <c r="A100" s="348" t="s">
        <v>74</v>
      </c>
      <c r="B100" s="334">
        <v>1048</v>
      </c>
    </row>
    <row r="101" spans="1:6">
      <c r="A101" s="348" t="s">
        <v>75</v>
      </c>
      <c r="B101" s="334">
        <v>153</v>
      </c>
    </row>
    <row r="102" spans="1:6">
      <c r="A102" s="348" t="s">
        <v>76</v>
      </c>
      <c r="B102" s="334">
        <v>273</v>
      </c>
    </row>
    <row r="103" spans="1:6">
      <c r="A103" s="348" t="s">
        <v>77</v>
      </c>
      <c r="B103" s="334">
        <v>408</v>
      </c>
    </row>
    <row r="104" spans="1:6">
      <c r="A104" s="348" t="s">
        <v>78</v>
      </c>
      <c r="B104" s="334">
        <v>2212</v>
      </c>
    </row>
    <row r="105" spans="1:6">
      <c r="A105" s="341" t="s">
        <v>79</v>
      </c>
      <c r="B105" s="341">
        <v>10</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34</v>
      </c>
      <c r="C123" s="334">
        <v>20</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126</v>
      </c>
    </row>
    <row r="130" spans="1:6">
      <c r="A130" s="348" t="s">
        <v>295</v>
      </c>
      <c r="B130" s="334">
        <v>3</v>
      </c>
    </row>
    <row r="131" spans="1:6">
      <c r="A131" s="348" t="s">
        <v>296</v>
      </c>
      <c r="B131" s="334">
        <v>2</v>
      </c>
    </row>
    <row r="132" spans="1:6">
      <c r="A132" s="341" t="s">
        <v>297</v>
      </c>
      <c r="B132" s="342">
        <v>18</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134177.70390488932</v>
      </c>
      <c r="C3" s="43" t="s">
        <v>170</v>
      </c>
      <c r="D3" s="43"/>
      <c r="E3" s="154"/>
      <c r="F3" s="43"/>
      <c r="G3" s="43"/>
      <c r="H3" s="43"/>
      <c r="I3" s="43"/>
      <c r="J3" s="43"/>
      <c r="K3" s="96"/>
    </row>
    <row r="4" spans="1:11">
      <c r="A4" s="384" t="s">
        <v>171</v>
      </c>
      <c r="B4" s="49">
        <f>IF(ISERROR('SEAP template'!B69),0,'SEAP template'!B69)</f>
        <v>16058.300923135002</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0.19455086276831485</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62.357142857142847</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1577.663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1577.663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0.19455086276831485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306.9356978076479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46665.953999999998</v>
      </c>
      <c r="C5" s="17">
        <f>IF(ISERROR('Eigen informatie GS &amp; warmtenet'!B57),0,'Eigen informatie GS &amp; warmtenet'!B57)</f>
        <v>0</v>
      </c>
      <c r="D5" s="30">
        <f>(SUM(HH_hh_gas_kWh,HH_rest_gas_kWh)/1000)*0.902</f>
        <v>110537.07099383428</v>
      </c>
      <c r="E5" s="17">
        <f>B46*B57</f>
        <v>4014.5974677587469</v>
      </c>
      <c r="F5" s="17">
        <f>B51*B62</f>
        <v>0</v>
      </c>
      <c r="G5" s="18"/>
      <c r="H5" s="17"/>
      <c r="I5" s="17"/>
      <c r="J5" s="17">
        <f>B50*B61+C50*C61</f>
        <v>3021.4658203246281</v>
      </c>
      <c r="K5" s="17"/>
      <c r="L5" s="17"/>
      <c r="M5" s="17"/>
      <c r="N5" s="17">
        <f>B48*B59+C48*C59</f>
        <v>18784.945463450516</v>
      </c>
      <c r="O5" s="17">
        <f>B69*B70*B71</f>
        <v>228.2466666666667</v>
      </c>
      <c r="P5" s="17">
        <f>B77*B78*B79/1000-B77*B78*B79/1000/B80</f>
        <v>991.4666666666667</v>
      </c>
    </row>
    <row r="6" spans="1:16">
      <c r="A6" s="16" t="s">
        <v>631</v>
      </c>
      <c r="B6" s="844">
        <f>kWh_PV_kleiner_dan_10kW</f>
        <v>4861.789540047067</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51527.743540047064</v>
      </c>
      <c r="C8" s="21">
        <f>C5</f>
        <v>0</v>
      </c>
      <c r="D8" s="21">
        <f>D5</f>
        <v>110537.07099383428</v>
      </c>
      <c r="E8" s="21">
        <f>E5</f>
        <v>4014.5974677587469</v>
      </c>
      <c r="F8" s="21">
        <f>F5</f>
        <v>0</v>
      </c>
      <c r="G8" s="21"/>
      <c r="H8" s="21"/>
      <c r="I8" s="21"/>
      <c r="J8" s="21">
        <f>J5</f>
        <v>3021.4658203246281</v>
      </c>
      <c r="K8" s="21"/>
      <c r="L8" s="21">
        <f>L5</f>
        <v>0</v>
      </c>
      <c r="M8" s="21">
        <f>M5</f>
        <v>0</v>
      </c>
      <c r="N8" s="21">
        <f>N5</f>
        <v>18784.945463450516</v>
      </c>
      <c r="O8" s="21">
        <f>O5</f>
        <v>228.2466666666667</v>
      </c>
      <c r="P8" s="21">
        <f>P5</f>
        <v>991.4666666666667</v>
      </c>
    </row>
    <row r="9" spans="1:16">
      <c r="B9" s="19"/>
      <c r="C9" s="19"/>
      <c r="D9" s="258"/>
      <c r="E9" s="19"/>
      <c r="F9" s="19"/>
      <c r="G9" s="19"/>
      <c r="H9" s="19"/>
      <c r="I9" s="19"/>
      <c r="J9" s="19"/>
      <c r="K9" s="19"/>
      <c r="L9" s="19"/>
      <c r="M9" s="19"/>
      <c r="N9" s="19"/>
      <c r="O9" s="19"/>
      <c r="P9" s="19"/>
    </row>
    <row r="10" spans="1:16">
      <c r="A10" s="24" t="s">
        <v>214</v>
      </c>
      <c r="B10" s="25">
        <f ca="1">'EF ele_warmte'!B12</f>
        <v>0.19455086276831485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10024.766962220618</v>
      </c>
      <c r="C12" s="23">
        <f ca="1">C10*C8</f>
        <v>0</v>
      </c>
      <c r="D12" s="23">
        <f>D8*D10</f>
        <v>22328.488340754524</v>
      </c>
      <c r="E12" s="23">
        <f>E10*E8</f>
        <v>911.31362518123558</v>
      </c>
      <c r="F12" s="23">
        <f>F10*F8</f>
        <v>0</v>
      </c>
      <c r="G12" s="23"/>
      <c r="H12" s="23"/>
      <c r="I12" s="23"/>
      <c r="J12" s="23">
        <f>J10*J8</f>
        <v>1069.5989003949182</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5711</v>
      </c>
      <c r="C18" s="166" t="s">
        <v>111</v>
      </c>
      <c r="D18" s="228"/>
      <c r="E18" s="15"/>
    </row>
    <row r="19" spans="1:7">
      <c r="A19" s="171" t="s">
        <v>72</v>
      </c>
      <c r="B19" s="37">
        <f>aantalw2001_ander</f>
        <v>8</v>
      </c>
      <c r="C19" s="166" t="s">
        <v>111</v>
      </c>
      <c r="D19" s="229"/>
      <c r="E19" s="15"/>
    </row>
    <row r="20" spans="1:7">
      <c r="A20" s="171" t="s">
        <v>73</v>
      </c>
      <c r="B20" s="37">
        <f>aantalw2001_propaan</f>
        <v>124</v>
      </c>
      <c r="C20" s="167">
        <f>IF(ISERROR(B20/SUM($B$20,$B$21,$B$22)*100),0,B20/SUM($B$20,$B$21,$B$22)*100)</f>
        <v>9.3584905660377355</v>
      </c>
      <c r="D20" s="229"/>
      <c r="E20" s="15"/>
    </row>
    <row r="21" spans="1:7">
      <c r="A21" s="171" t="s">
        <v>74</v>
      </c>
      <c r="B21" s="37">
        <f>aantalw2001_elektriciteit</f>
        <v>1048</v>
      </c>
      <c r="C21" s="167">
        <f>IF(ISERROR(B21/SUM($B$20,$B$21,$B$22)*100),0,B21/SUM($B$20,$B$21,$B$22)*100)</f>
        <v>79.094339622641513</v>
      </c>
      <c r="D21" s="229"/>
      <c r="E21" s="15"/>
    </row>
    <row r="22" spans="1:7">
      <c r="A22" s="171" t="s">
        <v>75</v>
      </c>
      <c r="B22" s="37">
        <f>aantalw2001_hout</f>
        <v>153</v>
      </c>
      <c r="C22" s="167">
        <f>IF(ISERROR(B22/SUM($B$20,$B$21,$B$22)*100),0,B22/SUM($B$20,$B$21,$B$22)*100)</f>
        <v>11.547169811320755</v>
      </c>
      <c r="D22" s="229"/>
      <c r="E22" s="15"/>
    </row>
    <row r="23" spans="1:7">
      <c r="A23" s="171" t="s">
        <v>76</v>
      </c>
      <c r="B23" s="37">
        <f>aantalw2001_niet_gespec</f>
        <v>273</v>
      </c>
      <c r="C23" s="166" t="s">
        <v>111</v>
      </c>
      <c r="D23" s="228"/>
      <c r="E23" s="15"/>
    </row>
    <row r="24" spans="1:7">
      <c r="A24" s="171" t="s">
        <v>77</v>
      </c>
      <c r="B24" s="37">
        <f>aantalw2001_steenkool</f>
        <v>408</v>
      </c>
      <c r="C24" s="166" t="s">
        <v>111</v>
      </c>
      <c r="D24" s="229"/>
      <c r="E24" s="15"/>
    </row>
    <row r="25" spans="1:7">
      <c r="A25" s="171" t="s">
        <v>78</v>
      </c>
      <c r="B25" s="37">
        <f>aantalw2001_stookolie</f>
        <v>2212</v>
      </c>
      <c r="C25" s="166" t="s">
        <v>111</v>
      </c>
      <c r="D25" s="228"/>
      <c r="E25" s="52"/>
    </row>
    <row r="26" spans="1:7">
      <c r="A26" s="171" t="s">
        <v>79</v>
      </c>
      <c r="B26" s="37">
        <f>aantalw2001_WP</f>
        <v>10</v>
      </c>
      <c r="C26" s="166" t="s">
        <v>111</v>
      </c>
      <c r="D26" s="228"/>
      <c r="E26" s="15"/>
    </row>
    <row r="27" spans="1:7" s="15" customFormat="1">
      <c r="A27" s="171"/>
      <c r="B27" s="29"/>
      <c r="C27" s="36"/>
      <c r="D27" s="228"/>
    </row>
    <row r="28" spans="1:7" s="15" customFormat="1">
      <c r="A28" s="230" t="s">
        <v>740</v>
      </c>
      <c r="B28" s="37">
        <f>aantalHuishoudens2011</f>
        <v>11945</v>
      </c>
      <c r="C28" s="36"/>
      <c r="D28" s="228"/>
    </row>
    <row r="29" spans="1:7" s="15" customFormat="1">
      <c r="A29" s="230" t="s">
        <v>741</v>
      </c>
      <c r="B29" s="37">
        <f>SUM(HH_hh_gas_aantal,HH_rest_gas_aantal)</f>
        <v>8932</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8932</v>
      </c>
      <c r="C32" s="167">
        <f>IF(ISERROR(B32/SUM($B$32,$B$34,$B$35,$B$36,$B$38,$B$39)*100),0,B32/SUM($B$32,$B$34,$B$35,$B$36,$B$38,$B$39)*100)</f>
        <v>75.103001765744565</v>
      </c>
      <c r="D32" s="233"/>
      <c r="G32" s="15"/>
    </row>
    <row r="33" spans="1:7">
      <c r="A33" s="171" t="s">
        <v>72</v>
      </c>
      <c r="B33" s="34" t="s">
        <v>111</v>
      </c>
      <c r="C33" s="167"/>
      <c r="D33" s="233"/>
      <c r="G33" s="15"/>
    </row>
    <row r="34" spans="1:7">
      <c r="A34" s="171" t="s">
        <v>73</v>
      </c>
      <c r="B34" s="33">
        <f>IF((($B$28-$B$32-$B$39-$B$77-$B$38)*C20/100)&lt;0,0,($B$28-$B$32-$B$39-$B$77-$B$38)*C20/100)</f>
        <v>269.06596226415093</v>
      </c>
      <c r="C34" s="167">
        <f>IF(ISERROR(B34/SUM($B$32,$B$34,$B$35,$B$36,$B$38,$B$39)*100),0,B34/SUM($B$32,$B$34,$B$35,$B$36,$B$38,$B$39)*100)</f>
        <v>2.2623893236706545</v>
      </c>
      <c r="D34" s="233"/>
      <c r="G34" s="15"/>
    </row>
    <row r="35" spans="1:7">
      <c r="A35" s="171" t="s">
        <v>74</v>
      </c>
      <c r="B35" s="33">
        <f>IF((($B$28-$B$32-$B$39-$B$77-$B$38)*C21/100)&lt;0,0,($B$28-$B$32-$B$39-$B$77-$B$38)*C21/100)</f>
        <v>2274.0413584905664</v>
      </c>
      <c r="C35" s="167">
        <f>IF(ISERROR(B35/SUM($B$32,$B$34,$B$35,$B$36,$B$38,$B$39)*100),0,B35/SUM($B$32,$B$34,$B$35,$B$36,$B$38,$B$39)*100)</f>
        <v>19.120838800055214</v>
      </c>
      <c r="D35" s="233"/>
      <c r="G35" s="15"/>
    </row>
    <row r="36" spans="1:7">
      <c r="A36" s="171" t="s">
        <v>75</v>
      </c>
      <c r="B36" s="33">
        <f>IF((($B$28-$B$32-$B$39-$B$77-$B$38)*C22/100)&lt;0,0,($B$28-$B$32-$B$39-$B$77-$B$38)*C22/100)</f>
        <v>331.992679245283</v>
      </c>
      <c r="C36" s="167">
        <f>IF(ISERROR(B36/SUM($B$32,$B$34,$B$35,$B$36,$B$38,$B$39)*100),0,B36/SUM($B$32,$B$34,$B$35,$B$36,$B$38,$B$39)*100)</f>
        <v>2.7914965042065338</v>
      </c>
      <c r="D36" s="233"/>
      <c r="G36" s="15"/>
    </row>
    <row r="37" spans="1:7">
      <c r="A37" s="171" t="s">
        <v>76</v>
      </c>
      <c r="B37" s="34" t="s">
        <v>111</v>
      </c>
      <c r="C37" s="167"/>
      <c r="D37" s="173"/>
      <c r="G37" s="15"/>
    </row>
    <row r="38" spans="1:7">
      <c r="A38" s="171" t="s">
        <v>77</v>
      </c>
      <c r="B38" s="33">
        <f>IF((B24-(B29-B18)*0.1)&lt;0,0,B24-(B29-B18)*0.1)</f>
        <v>85.899999999999977</v>
      </c>
      <c r="C38" s="167">
        <f>IF(ISERROR(B38/SUM($B$32,$B$34,$B$35,$B$36,$B$38,$B$39)*100),0,B38/SUM($B$32,$B$34,$B$35,$B$36,$B$38,$B$39)*100)</f>
        <v>0.72227360632304705</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8932</v>
      </c>
      <c r="C44" s="34" t="s">
        <v>111</v>
      </c>
      <c r="D44" s="174"/>
    </row>
    <row r="45" spans="1:7">
      <c r="A45" s="171" t="s">
        <v>72</v>
      </c>
      <c r="B45" s="33" t="str">
        <f t="shared" si="0"/>
        <v>-</v>
      </c>
      <c r="C45" s="34" t="s">
        <v>111</v>
      </c>
      <c r="D45" s="174"/>
    </row>
    <row r="46" spans="1:7">
      <c r="A46" s="171" t="s">
        <v>73</v>
      </c>
      <c r="B46" s="33">
        <f t="shared" si="0"/>
        <v>269.06596226415093</v>
      </c>
      <c r="C46" s="34" t="s">
        <v>111</v>
      </c>
      <c r="D46" s="174"/>
    </row>
    <row r="47" spans="1:7">
      <c r="A47" s="171" t="s">
        <v>74</v>
      </c>
      <c r="B47" s="33">
        <f t="shared" si="0"/>
        <v>2274.0413584905664</v>
      </c>
      <c r="C47" s="34" t="s">
        <v>111</v>
      </c>
      <c r="D47" s="174"/>
    </row>
    <row r="48" spans="1:7">
      <c r="A48" s="171" t="s">
        <v>75</v>
      </c>
      <c r="B48" s="33">
        <f t="shared" si="0"/>
        <v>331.992679245283</v>
      </c>
      <c r="C48" s="33">
        <f>B48*10</f>
        <v>3319.9267924528299</v>
      </c>
      <c r="D48" s="234"/>
    </row>
    <row r="49" spans="1:6">
      <c r="A49" s="171" t="s">
        <v>76</v>
      </c>
      <c r="B49" s="33" t="str">
        <f t="shared" si="0"/>
        <v>-</v>
      </c>
      <c r="C49" s="34" t="s">
        <v>111</v>
      </c>
      <c r="D49" s="234"/>
    </row>
    <row r="50" spans="1:6">
      <c r="A50" s="171" t="s">
        <v>77</v>
      </c>
      <c r="B50" s="33">
        <f t="shared" si="0"/>
        <v>85.899999999999977</v>
      </c>
      <c r="C50" s="33">
        <f>B50*2</f>
        <v>171.79999999999995</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146</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52</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39639.062599999997</v>
      </c>
      <c r="C5" s="17">
        <f>IF(ISERROR('Eigen informatie GS &amp; warmtenet'!B58),0,'Eigen informatie GS &amp; warmtenet'!B58)</f>
        <v>0</v>
      </c>
      <c r="D5" s="30">
        <f>SUM(D6:D12)</f>
        <v>36233.859986393829</v>
      </c>
      <c r="E5" s="17">
        <f>SUM(E6:E12)</f>
        <v>334.17669827105971</v>
      </c>
      <c r="F5" s="17">
        <f>SUM(F6:F12)</f>
        <v>5613.7441460801429</v>
      </c>
      <c r="G5" s="18"/>
      <c r="H5" s="17"/>
      <c r="I5" s="17"/>
      <c r="J5" s="17">
        <f>SUM(J6:J12)</f>
        <v>0</v>
      </c>
      <c r="K5" s="17"/>
      <c r="L5" s="17"/>
      <c r="M5" s="17"/>
      <c r="N5" s="17">
        <f>SUM(N6:N12)</f>
        <v>3403.3152966149892</v>
      </c>
      <c r="O5" s="17">
        <f>B38*B39*B40</f>
        <v>4.6900000000000004</v>
      </c>
      <c r="P5" s="17">
        <f>B46*B47*B48/1000-B46*B47*B48/1000/B49</f>
        <v>38.133333333333333</v>
      </c>
      <c r="R5" s="32"/>
    </row>
    <row r="6" spans="1:18">
      <c r="A6" s="32" t="s">
        <v>54</v>
      </c>
      <c r="B6" s="37">
        <f>B26</f>
        <v>12166.159</v>
      </c>
      <c r="C6" s="33"/>
      <c r="D6" s="37">
        <f>IF(ISERROR(TER_kantoor_gas_kWh/1000),0,TER_kantoor_gas_kWh/1000)*0.902</f>
        <v>8183.8729977518797</v>
      </c>
      <c r="E6" s="33">
        <f>$C$26*'E Balans VL '!I12/100/3.6*1000000</f>
        <v>35.247147651629149</v>
      </c>
      <c r="F6" s="33">
        <f>$C$26*('E Balans VL '!L12+'E Balans VL '!N12)/100/3.6*1000000</f>
        <v>1376.9411575353624</v>
      </c>
      <c r="G6" s="34"/>
      <c r="H6" s="33"/>
      <c r="I6" s="33"/>
      <c r="J6" s="33">
        <f>$C$26*('E Balans VL '!D12+'E Balans VL '!E12)/100/3.6*1000000</f>
        <v>0</v>
      </c>
      <c r="K6" s="33"/>
      <c r="L6" s="33"/>
      <c r="M6" s="33"/>
      <c r="N6" s="33">
        <f>$C$26*'E Balans VL '!Y12/100/3.6*1000000</f>
        <v>121.77428716379823</v>
      </c>
      <c r="O6" s="33"/>
      <c r="P6" s="33"/>
      <c r="R6" s="32"/>
    </row>
    <row r="7" spans="1:18">
      <c r="A7" s="32" t="s">
        <v>53</v>
      </c>
      <c r="B7" s="37">
        <f t="shared" ref="B7:B12" si="0">B27</f>
        <v>1878.335</v>
      </c>
      <c r="C7" s="33"/>
      <c r="D7" s="37">
        <f>IF(ISERROR(TER_horeca_gas_kWh/1000),0,TER_horeca_gas_kWh/1000)*0.902</f>
        <v>2384.4833534811769</v>
      </c>
      <c r="E7" s="33">
        <f>$C$27*'E Balans VL '!I9/100/3.6*1000000</f>
        <v>78.847255335729898</v>
      </c>
      <c r="F7" s="33">
        <f>$C$27*('E Balans VL '!L9+'E Balans VL '!N9)/100/3.6*1000000</f>
        <v>403.5987936369973</v>
      </c>
      <c r="G7" s="34"/>
      <c r="H7" s="33"/>
      <c r="I7" s="33"/>
      <c r="J7" s="33">
        <f>$C$27*('E Balans VL '!D9+'E Balans VL '!E9)/100/3.6*1000000</f>
        <v>0</v>
      </c>
      <c r="K7" s="33"/>
      <c r="L7" s="33"/>
      <c r="M7" s="33"/>
      <c r="N7" s="33">
        <f>$C$27*'E Balans VL '!Y9/100/3.6*1000000</f>
        <v>0.48403050286451088</v>
      </c>
      <c r="O7" s="33"/>
      <c r="P7" s="33"/>
      <c r="R7" s="32"/>
    </row>
    <row r="8" spans="1:18">
      <c r="A8" s="6" t="s">
        <v>52</v>
      </c>
      <c r="B8" s="37">
        <f t="shared" si="0"/>
        <v>14483.583000000001</v>
      </c>
      <c r="C8" s="33"/>
      <c r="D8" s="37">
        <f>IF(ISERROR(TER_handel_gas_kWh/1000),0,TER_handel_gas_kWh/1000)*0.902</f>
        <v>10356.966979178347</v>
      </c>
      <c r="E8" s="33">
        <f>$C$28*'E Balans VL '!I13/100/3.6*1000000</f>
        <v>155.56573576346702</v>
      </c>
      <c r="F8" s="33">
        <f>$C$28*('E Balans VL '!L13+'E Balans VL '!N13)/100/3.6*1000000</f>
        <v>1875.019422312824</v>
      </c>
      <c r="G8" s="34"/>
      <c r="H8" s="33"/>
      <c r="I8" s="33"/>
      <c r="J8" s="33">
        <f>$C$28*('E Balans VL '!D13+'E Balans VL '!E13)/100/3.6*1000000</f>
        <v>0</v>
      </c>
      <c r="K8" s="33"/>
      <c r="L8" s="33"/>
      <c r="M8" s="33"/>
      <c r="N8" s="33">
        <f>$C$28*'E Balans VL '!Y13/100/3.6*1000000</f>
        <v>117.49161613401708</v>
      </c>
      <c r="O8" s="33"/>
      <c r="P8" s="33"/>
      <c r="R8" s="32"/>
    </row>
    <row r="9" spans="1:18">
      <c r="A9" s="32" t="s">
        <v>51</v>
      </c>
      <c r="B9" s="37">
        <f t="shared" si="0"/>
        <v>1212.95</v>
      </c>
      <c r="C9" s="33"/>
      <c r="D9" s="37">
        <f>IF(ISERROR(TER_gezond_gas_kWh/1000),0,TER_gezond_gas_kWh/1000)*0.902</f>
        <v>2318.4882388849778</v>
      </c>
      <c r="E9" s="33">
        <f>$C$29*'E Balans VL '!I10/100/3.6*1000000</f>
        <v>0.96558665150422207</v>
      </c>
      <c r="F9" s="33">
        <f>$C$29*('E Balans VL '!L10+'E Balans VL '!N10)/100/3.6*1000000</f>
        <v>147.45160120631766</v>
      </c>
      <c r="G9" s="34"/>
      <c r="H9" s="33"/>
      <c r="I9" s="33"/>
      <c r="J9" s="33">
        <f>$C$29*('E Balans VL '!D10+'E Balans VL '!E10)/100/3.6*1000000</f>
        <v>0</v>
      </c>
      <c r="K9" s="33"/>
      <c r="L9" s="33"/>
      <c r="M9" s="33"/>
      <c r="N9" s="33">
        <f>$C$29*'E Balans VL '!Y10/100/3.6*1000000</f>
        <v>9.7978887500113832</v>
      </c>
      <c r="O9" s="33"/>
      <c r="P9" s="33"/>
      <c r="R9" s="32"/>
    </row>
    <row r="10" spans="1:18">
      <c r="A10" s="32" t="s">
        <v>50</v>
      </c>
      <c r="B10" s="37">
        <f t="shared" si="0"/>
        <v>3805.0810000000001</v>
      </c>
      <c r="C10" s="33"/>
      <c r="D10" s="37">
        <f>IF(ISERROR(TER_ander_gas_kWh/1000),0,TER_ander_gas_kWh/1000)*0.902</f>
        <v>5803.4886034923893</v>
      </c>
      <c r="E10" s="33">
        <f>$C$30*'E Balans VL '!I14/100/3.6*1000000</f>
        <v>13.040212480332222</v>
      </c>
      <c r="F10" s="33">
        <f>$C$30*('E Balans VL '!L14+'E Balans VL '!N14)/100/3.6*1000000</f>
        <v>849.90047512188801</v>
      </c>
      <c r="G10" s="34"/>
      <c r="H10" s="33"/>
      <c r="I10" s="33"/>
      <c r="J10" s="33">
        <f>$C$30*('E Balans VL '!D14+'E Balans VL '!E14)/100/3.6*1000000</f>
        <v>0</v>
      </c>
      <c r="K10" s="33"/>
      <c r="L10" s="33"/>
      <c r="M10" s="33"/>
      <c r="N10" s="33">
        <f>$C$30*'E Balans VL '!Y14/100/3.6*1000000</f>
        <v>2680.3198431511787</v>
      </c>
      <c r="O10" s="33"/>
      <c r="P10" s="33"/>
      <c r="R10" s="32"/>
    </row>
    <row r="11" spans="1:18">
      <c r="A11" s="32" t="s">
        <v>55</v>
      </c>
      <c r="B11" s="37">
        <f t="shared" si="0"/>
        <v>548.09860000000003</v>
      </c>
      <c r="C11" s="33"/>
      <c r="D11" s="37">
        <f>IF(ISERROR(TER_onderwijs_gas_kWh/1000),0,TER_onderwijs_gas_kWh/1000)*0.902</f>
        <v>1050.2977030670472</v>
      </c>
      <c r="E11" s="33">
        <f>$C$31*'E Balans VL '!I11/100/3.6*1000000</f>
        <v>0.3788836820716055</v>
      </c>
      <c r="F11" s="33">
        <f>$C$31*('E Balans VL '!L11+'E Balans VL '!N11)/100/3.6*1000000</f>
        <v>143.4762922959483</v>
      </c>
      <c r="G11" s="34"/>
      <c r="H11" s="33"/>
      <c r="I11" s="33"/>
      <c r="J11" s="33">
        <f>$C$31*('E Balans VL '!D11+'E Balans VL '!E11)/100/3.6*1000000</f>
        <v>0</v>
      </c>
      <c r="K11" s="33"/>
      <c r="L11" s="33"/>
      <c r="M11" s="33"/>
      <c r="N11" s="33">
        <f>$C$31*'E Balans VL '!Y11/100/3.6*1000000</f>
        <v>0.54558547290294268</v>
      </c>
      <c r="O11" s="33"/>
      <c r="P11" s="33"/>
      <c r="R11" s="32"/>
    </row>
    <row r="12" spans="1:18">
      <c r="A12" s="32" t="s">
        <v>260</v>
      </c>
      <c r="B12" s="37">
        <f t="shared" si="0"/>
        <v>5544.8559999999998</v>
      </c>
      <c r="C12" s="33"/>
      <c r="D12" s="37">
        <f>IF(ISERROR(TER_rest_gas_kWh/1000),0,TER_rest_gas_kWh/1000)*0.902</f>
        <v>6136.2621105380113</v>
      </c>
      <c r="E12" s="33">
        <f>$C$32*'E Balans VL '!I8/100/3.6*1000000</f>
        <v>50.13187670632562</v>
      </c>
      <c r="F12" s="33">
        <f>$C$32*('E Balans VL '!L8+'E Balans VL '!N8)/100/3.6*1000000</f>
        <v>817.35640397080499</v>
      </c>
      <c r="G12" s="34"/>
      <c r="H12" s="33"/>
      <c r="I12" s="33"/>
      <c r="J12" s="33">
        <f>$C$32*('E Balans VL '!D8+'E Balans VL '!E8)/100/3.6*1000000</f>
        <v>0</v>
      </c>
      <c r="K12" s="33"/>
      <c r="L12" s="33"/>
      <c r="M12" s="33"/>
      <c r="N12" s="33">
        <f>$C$32*'E Balans VL '!Y8/100/3.6*1000000</f>
        <v>472.90204544021634</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39639.062599999997</v>
      </c>
      <c r="C16" s="21">
        <f t="shared" ca="1" si="1"/>
        <v>0</v>
      </c>
      <c r="D16" s="21">
        <f t="shared" ca="1" si="1"/>
        <v>36233.859986393829</v>
      </c>
      <c r="E16" s="21">
        <f t="shared" si="1"/>
        <v>334.17669827105971</v>
      </c>
      <c r="F16" s="21">
        <f t="shared" ca="1" si="1"/>
        <v>5613.7441460801429</v>
      </c>
      <c r="G16" s="21">
        <f t="shared" si="1"/>
        <v>0</v>
      </c>
      <c r="H16" s="21">
        <f t="shared" si="1"/>
        <v>0</v>
      </c>
      <c r="I16" s="21">
        <f t="shared" si="1"/>
        <v>0</v>
      </c>
      <c r="J16" s="21">
        <f t="shared" si="1"/>
        <v>0</v>
      </c>
      <c r="K16" s="21">
        <f t="shared" si="1"/>
        <v>0</v>
      </c>
      <c r="L16" s="21">
        <f t="shared" ca="1" si="1"/>
        <v>0</v>
      </c>
      <c r="M16" s="21">
        <f t="shared" si="1"/>
        <v>0</v>
      </c>
      <c r="N16" s="21">
        <f t="shared" ca="1" si="1"/>
        <v>3403.3152966149892</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0.19455086276831485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7711.813828157241</v>
      </c>
      <c r="C20" s="23">
        <f t="shared" ref="C20:P20" ca="1" si="2">C16*C18</f>
        <v>0</v>
      </c>
      <c r="D20" s="23">
        <f t="shared" ca="1" si="2"/>
        <v>7319.2397172515539</v>
      </c>
      <c r="E20" s="23">
        <f t="shared" si="2"/>
        <v>75.858110507530554</v>
      </c>
      <c r="F20" s="23">
        <f t="shared" ca="1" si="2"/>
        <v>1498.8696870033982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12166.159</v>
      </c>
      <c r="C26" s="39">
        <f>IF(ISERROR(B26*3.6/1000000/'E Balans VL '!Z12*100),0,B26*3.6/1000000/'E Balans VL '!Z12*100)</f>
        <v>0.26724374792328326</v>
      </c>
      <c r="D26" s="237" t="s">
        <v>692</v>
      </c>
      <c r="F26" s="6"/>
    </row>
    <row r="27" spans="1:18">
      <c r="A27" s="231" t="s">
        <v>53</v>
      </c>
      <c r="B27" s="33">
        <f>IF(ISERROR(TER_horeca_ele_kWh/1000),0,TER_horeca_ele_kWh/1000)</f>
        <v>1878.335</v>
      </c>
      <c r="C27" s="39">
        <f>IF(ISERROR(B27*3.6/1000000/'E Balans VL '!Z9*100),0,B27*3.6/1000000/'E Balans VL '!Z9*100)</f>
        <v>0.15094294071442432</v>
      </c>
      <c r="D27" s="237" t="s">
        <v>692</v>
      </c>
      <c r="F27" s="6"/>
    </row>
    <row r="28" spans="1:18">
      <c r="A28" s="171" t="s">
        <v>52</v>
      </c>
      <c r="B28" s="33">
        <f>IF(ISERROR(TER_handel_ele_kWh/1000),0,TER_handel_ele_kWh/1000)</f>
        <v>14483.583000000001</v>
      </c>
      <c r="C28" s="39">
        <f>IF(ISERROR(B28*3.6/1000000/'E Balans VL '!Z13*100),0,B28*3.6/1000000/'E Balans VL '!Z13*100)</f>
        <v>0.42826943086646357</v>
      </c>
      <c r="D28" s="237" t="s">
        <v>692</v>
      </c>
      <c r="F28" s="6"/>
    </row>
    <row r="29" spans="1:18">
      <c r="A29" s="231" t="s">
        <v>51</v>
      </c>
      <c r="B29" s="33">
        <f>IF(ISERROR(TER_gezond_ele_kWh/1000),0,TER_gezond_ele_kWh/1000)</f>
        <v>1212.95</v>
      </c>
      <c r="C29" s="39">
        <f>IF(ISERROR(B29*3.6/1000000/'E Balans VL '!Z10*100),0,B29*3.6/1000000/'E Balans VL '!Z10*100)</f>
        <v>0.13666814939147787</v>
      </c>
      <c r="D29" s="237" t="s">
        <v>692</v>
      </c>
      <c r="F29" s="6"/>
    </row>
    <row r="30" spans="1:18">
      <c r="A30" s="231" t="s">
        <v>50</v>
      </c>
      <c r="B30" s="33">
        <f>IF(ISERROR(TER_ander_ele_kWh/1000),0,TER_ander_ele_kWh/1000)</f>
        <v>3805.0810000000001</v>
      </c>
      <c r="C30" s="39">
        <f>IF(ISERROR(B30*3.6/1000000/'E Balans VL '!Z14*100),0,B30*3.6/1000000/'E Balans VL '!Z14*100)</f>
        <v>0.28777177153783884</v>
      </c>
      <c r="D30" s="237" t="s">
        <v>692</v>
      </c>
      <c r="F30" s="6"/>
    </row>
    <row r="31" spans="1:18">
      <c r="A31" s="231" t="s">
        <v>55</v>
      </c>
      <c r="B31" s="33">
        <f>IF(ISERROR(TER_onderwijs_ele_kWh/1000),0,TER_onderwijs_ele_kWh/1000)</f>
        <v>548.09860000000003</v>
      </c>
      <c r="C31" s="39">
        <f>IF(ISERROR(B31*3.6/1000000/'E Balans VL '!Z11*100),0,B31*3.6/1000000/'E Balans VL '!Z11*100)</f>
        <v>0.11377254579722895</v>
      </c>
      <c r="D31" s="237" t="s">
        <v>692</v>
      </c>
    </row>
    <row r="32" spans="1:18">
      <c r="A32" s="231" t="s">
        <v>260</v>
      </c>
      <c r="B32" s="33">
        <f>IF(ISERROR(TER_rest_ele_kWh/1000),0,TER_rest_ele_kWh/1000)</f>
        <v>5544.8559999999998</v>
      </c>
      <c r="C32" s="39">
        <f>IF(ISERROR(B32*3.6/1000000/'E Balans VL '!Z8*100),0,B32*3.6/1000000/'E Balans VL '!Z8*100)</f>
        <v>4.6712149871679237E-2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2</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40005.383990000002</v>
      </c>
      <c r="C5" s="17">
        <f>IF(ISERROR('Eigen informatie GS &amp; warmtenet'!B59),0,'Eigen informatie GS &amp; warmtenet'!B59)</f>
        <v>0</v>
      </c>
      <c r="D5" s="30">
        <f>SUM(D6:D15)</f>
        <v>25981.31324190033</v>
      </c>
      <c r="E5" s="17">
        <f>SUM(E6:E15)</f>
        <v>2571.5867952449444</v>
      </c>
      <c r="F5" s="17">
        <f>SUM(F6:F15)</f>
        <v>19221.763638277556</v>
      </c>
      <c r="G5" s="18"/>
      <c r="H5" s="17"/>
      <c r="I5" s="17"/>
      <c r="J5" s="17">
        <f>SUM(J6:J15)</f>
        <v>236.51548348047302</v>
      </c>
      <c r="K5" s="17"/>
      <c r="L5" s="17"/>
      <c r="M5" s="17"/>
      <c r="N5" s="17">
        <f>SUM(N6:N15)</f>
        <v>9201.4551518462904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1640.7070000000001</v>
      </c>
      <c r="C8" s="33"/>
      <c r="D8" s="37">
        <f>IF( ISERROR(IND_metaal_Gas_kWH/1000),0,IND_metaal_Gas_kWH/1000)*0.902</f>
        <v>696.21030793714613</v>
      </c>
      <c r="E8" s="33">
        <f>C30*'E Balans VL '!I18/100/3.6*1000000</f>
        <v>41.061153858521863</v>
      </c>
      <c r="F8" s="33">
        <f>C30*'E Balans VL '!L18/100/3.6*1000000+C30*'E Balans VL '!N18/100/3.6*1000000</f>
        <v>514.20573509633687</v>
      </c>
      <c r="G8" s="34"/>
      <c r="H8" s="33"/>
      <c r="I8" s="33"/>
      <c r="J8" s="40">
        <f>C30*'E Balans VL '!D18/100/3.6*1000000+C30*'E Balans VL '!E18/100/3.6*1000000</f>
        <v>0</v>
      </c>
      <c r="K8" s="33"/>
      <c r="L8" s="33"/>
      <c r="M8" s="33"/>
      <c r="N8" s="33">
        <f>C30*'E Balans VL '!Y18/100/3.6*1000000</f>
        <v>41.218817845965987</v>
      </c>
      <c r="O8" s="33"/>
      <c r="P8" s="33"/>
      <c r="R8" s="32"/>
    </row>
    <row r="9" spans="1:18">
      <c r="A9" s="6" t="s">
        <v>33</v>
      </c>
      <c r="B9" s="37">
        <f t="shared" si="0"/>
        <v>3744.701</v>
      </c>
      <c r="C9" s="33"/>
      <c r="D9" s="37">
        <f>IF( ISERROR(IND_andere_gas_kWh/1000),0,IND_andere_gas_kWh/1000)*0.902</f>
        <v>5226.7203330145858</v>
      </c>
      <c r="E9" s="33">
        <f>C31*'E Balans VL '!I19/100/3.6*1000000</f>
        <v>1029.6391858803013</v>
      </c>
      <c r="F9" s="33">
        <f>C31*'E Balans VL '!L19/100/3.6*1000000+C31*'E Balans VL '!N19/100/3.6*1000000</f>
        <v>2951.4760127593277</v>
      </c>
      <c r="G9" s="34"/>
      <c r="H9" s="33"/>
      <c r="I9" s="33"/>
      <c r="J9" s="40">
        <f>C31*'E Balans VL '!D19/100/3.6*1000000+C31*'E Balans VL '!E19/100/3.6*1000000</f>
        <v>0</v>
      </c>
      <c r="K9" s="33"/>
      <c r="L9" s="33"/>
      <c r="M9" s="33"/>
      <c r="N9" s="33">
        <f>C31*'E Balans VL '!Y19/100/3.6*1000000</f>
        <v>1212.2585572660021</v>
      </c>
      <c r="O9" s="33"/>
      <c r="P9" s="33"/>
      <c r="R9" s="32"/>
    </row>
    <row r="10" spans="1:18">
      <c r="A10" s="6" t="s">
        <v>41</v>
      </c>
      <c r="B10" s="37">
        <f t="shared" si="0"/>
        <v>4879.2020000000002</v>
      </c>
      <c r="C10" s="33"/>
      <c r="D10" s="37">
        <f>IF( ISERROR(IND_voed_gas_kWh/1000),0,IND_voed_gas_kWh/1000)*0.902</f>
        <v>3125.0943533226609</v>
      </c>
      <c r="E10" s="33">
        <f>C32*'E Balans VL '!I20/100/3.6*1000000</f>
        <v>49.740776422280604</v>
      </c>
      <c r="F10" s="33">
        <f>C32*'E Balans VL '!L20/100/3.6*1000000+C32*'E Balans VL '!N20/100/3.6*1000000</f>
        <v>9216.7820615372748</v>
      </c>
      <c r="G10" s="34"/>
      <c r="H10" s="33"/>
      <c r="I10" s="33"/>
      <c r="J10" s="40">
        <f>C32*'E Balans VL '!D20/100/3.6*1000000+C32*'E Balans VL '!E20/100/3.6*1000000</f>
        <v>116.77526868122312</v>
      </c>
      <c r="K10" s="33"/>
      <c r="L10" s="33"/>
      <c r="M10" s="33"/>
      <c r="N10" s="33">
        <f>C32*'E Balans VL '!Y20/100/3.6*1000000</f>
        <v>2571.9014691540983</v>
      </c>
      <c r="O10" s="33"/>
      <c r="P10" s="33"/>
      <c r="R10" s="32"/>
    </row>
    <row r="11" spans="1:18">
      <c r="A11" s="6" t="s">
        <v>40</v>
      </c>
      <c r="B11" s="37">
        <f t="shared" si="0"/>
        <v>996.95399999999995</v>
      </c>
      <c r="C11" s="33"/>
      <c r="D11" s="37">
        <f>IF( ISERROR(IND_textiel_gas_kWh/1000),0,IND_textiel_gas_kWh/1000)*0.902</f>
        <v>106.10314658455572</v>
      </c>
      <c r="E11" s="33">
        <f>C33*'E Balans VL '!I21/100/3.6*1000000</f>
        <v>2.6424158273459262</v>
      </c>
      <c r="F11" s="33">
        <f>C33*'E Balans VL '!L21/100/3.6*1000000+C33*'E Balans VL '!N21/100/3.6*1000000</f>
        <v>44.524994074630271</v>
      </c>
      <c r="G11" s="34"/>
      <c r="H11" s="33"/>
      <c r="I11" s="33"/>
      <c r="J11" s="40">
        <f>C33*'E Balans VL '!D21/100/3.6*1000000+C33*'E Balans VL '!E21/100/3.6*1000000</f>
        <v>0</v>
      </c>
      <c r="K11" s="33"/>
      <c r="L11" s="33"/>
      <c r="M11" s="33"/>
      <c r="N11" s="33">
        <f>C33*'E Balans VL '!Y21/100/3.6*1000000</f>
        <v>9.3955787852984045</v>
      </c>
      <c r="O11" s="33"/>
      <c r="P11" s="33"/>
      <c r="R11" s="32"/>
    </row>
    <row r="12" spans="1:18">
      <c r="A12" s="6" t="s">
        <v>37</v>
      </c>
      <c r="B12" s="37">
        <f t="shared" si="0"/>
        <v>239.4744</v>
      </c>
      <c r="C12" s="33"/>
      <c r="D12" s="37">
        <f>IF( ISERROR(IND_min_gas_kWh/1000),0,IND_min_gas_kWh/1000)*0.902</f>
        <v>0</v>
      </c>
      <c r="E12" s="33">
        <f>C34*'E Balans VL '!I22/100/3.6*1000000</f>
        <v>0.72525963065281263</v>
      </c>
      <c r="F12" s="33">
        <f>C34*'E Balans VL '!L22/100/3.6*1000000+C34*'E Balans VL '!N22/100/3.6*1000000</f>
        <v>7.4837808847879028</v>
      </c>
      <c r="G12" s="34"/>
      <c r="H12" s="33"/>
      <c r="I12" s="33"/>
      <c r="J12" s="40">
        <f>C34*'E Balans VL '!D22/100/3.6*1000000+C34*'E Balans VL '!E22/100/3.6*1000000</f>
        <v>0.35508737462251322</v>
      </c>
      <c r="K12" s="33"/>
      <c r="L12" s="33"/>
      <c r="M12" s="33"/>
      <c r="N12" s="33">
        <f>C34*'E Balans VL '!Y22/100/3.6*1000000</f>
        <v>0</v>
      </c>
      <c r="O12" s="33"/>
      <c r="P12" s="33"/>
      <c r="R12" s="32"/>
    </row>
    <row r="13" spans="1:18">
      <c r="A13" s="6" t="s">
        <v>39</v>
      </c>
      <c r="B13" s="37">
        <f t="shared" si="0"/>
        <v>47.676589999999997</v>
      </c>
      <c r="C13" s="33"/>
      <c r="D13" s="37">
        <f>IF( ISERROR(IND_papier_gas_kWh/1000),0,IND_papier_gas_kWh/1000)*0.902</f>
        <v>65.362412355722384</v>
      </c>
      <c r="E13" s="33">
        <f>C35*'E Balans VL '!I23/100/3.6*1000000</f>
        <v>9.8741435982334688E-2</v>
      </c>
      <c r="F13" s="33">
        <f>C35*'E Balans VL '!L23/100/3.6*1000000+C35*'E Balans VL '!N23/100/3.6*1000000</f>
        <v>0.94552899018519065</v>
      </c>
      <c r="G13" s="34"/>
      <c r="H13" s="33"/>
      <c r="I13" s="33"/>
      <c r="J13" s="40">
        <f>C35*'E Balans VL '!D23/100/3.6*1000000+C35*'E Balans VL '!E23/100/3.6*1000000</f>
        <v>0</v>
      </c>
      <c r="K13" s="33"/>
      <c r="L13" s="33"/>
      <c r="M13" s="33"/>
      <c r="N13" s="33">
        <f>C35*'E Balans VL '!Y23/100/3.6*1000000</f>
        <v>20.131338518209986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28456.669000000002</v>
      </c>
      <c r="C15" s="33"/>
      <c r="D15" s="37">
        <f>IF( ISERROR(IND_rest_gas_kWh/1000),0,IND_rest_gas_kWh/1000)*0.902</f>
        <v>16761.822688685661</v>
      </c>
      <c r="E15" s="33">
        <f>C37*'E Balans VL '!I15/100/3.6*1000000</f>
        <v>1447.6792621898592</v>
      </c>
      <c r="F15" s="33">
        <f>C37*'E Balans VL '!L15/100/3.6*1000000+C37*'E Balans VL '!N15/100/3.6*1000000</f>
        <v>6486.3455249350145</v>
      </c>
      <c r="G15" s="34"/>
      <c r="H15" s="33"/>
      <c r="I15" s="33"/>
      <c r="J15" s="40">
        <f>C37*'E Balans VL '!D15/100/3.6*1000000+C37*'E Balans VL '!E15/100/3.6*1000000</f>
        <v>119.38512742462738</v>
      </c>
      <c r="K15" s="33"/>
      <c r="L15" s="33"/>
      <c r="M15" s="33"/>
      <c r="N15" s="33">
        <f>C37*'E Balans VL '!Y15/100/3.6*1000000</f>
        <v>5346.5493902767157</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40005.383990000002</v>
      </c>
      <c r="C18" s="21">
        <f>C5+C16</f>
        <v>0</v>
      </c>
      <c r="D18" s="21">
        <f>MAX((D5+D16),0)</f>
        <v>25981.31324190033</v>
      </c>
      <c r="E18" s="21">
        <f>MAX((E5+E16),0)</f>
        <v>2571.5867952449444</v>
      </c>
      <c r="F18" s="21">
        <f>MAX((F5+F16),0)</f>
        <v>19221.763638277556</v>
      </c>
      <c r="G18" s="21"/>
      <c r="H18" s="21"/>
      <c r="I18" s="21"/>
      <c r="J18" s="21">
        <f>MAX((J5+J16),0)</f>
        <v>236.51548348047302</v>
      </c>
      <c r="K18" s="21"/>
      <c r="L18" s="21">
        <f>MAX((L5+L16),0)</f>
        <v>0</v>
      </c>
      <c r="M18" s="21"/>
      <c r="N18" s="21">
        <f>MAX((N5+N16),0)</f>
        <v>9201.4551518462904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0.19455086276831485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7783.08197063223</v>
      </c>
      <c r="C22" s="23">
        <f ca="1">C18*C20</f>
        <v>0</v>
      </c>
      <c r="D22" s="23">
        <f>D18*D20</f>
        <v>5248.2252748638675</v>
      </c>
      <c r="E22" s="23">
        <f>E18*E20</f>
        <v>583.75020252060244</v>
      </c>
      <c r="F22" s="23">
        <f>F18*F20</f>
        <v>5132.2108914201081</v>
      </c>
      <c r="G22" s="23"/>
      <c r="H22" s="23"/>
      <c r="I22" s="23"/>
      <c r="J22" s="23">
        <f>J18*J20</f>
        <v>83.726481152087445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1640.7070000000001</v>
      </c>
      <c r="C30" s="39">
        <f>IF(ISERROR(B30*3.6/1000000/'E Balans VL '!Z18*100),0,B30*3.6/1000000/'E Balans VL '!Z18*100)</f>
        <v>0.22964430283518969</v>
      </c>
      <c r="D30" s="237" t="s">
        <v>692</v>
      </c>
    </row>
    <row r="31" spans="1:18">
      <c r="A31" s="6" t="s">
        <v>33</v>
      </c>
      <c r="B31" s="37">
        <f>IF( ISERROR(IND_ander_ele_kWh/1000),0,IND_ander_ele_kWh/1000)</f>
        <v>3744.701</v>
      </c>
      <c r="C31" s="39">
        <f>IF(ISERROR(B31*3.6/1000000/'E Balans VL '!Z19*100),0,B31*3.6/1000000/'E Balans VL '!Z19*100)</f>
        <v>0.16390495529319093</v>
      </c>
      <c r="D31" s="237" t="s">
        <v>692</v>
      </c>
    </row>
    <row r="32" spans="1:18">
      <c r="A32" s="171" t="s">
        <v>41</v>
      </c>
      <c r="B32" s="37">
        <f>IF( ISERROR(IND_voed_ele_kWh/1000),0,IND_voed_ele_kWh/1000)</f>
        <v>4879.2020000000002</v>
      </c>
      <c r="C32" s="39">
        <f>IF(ISERROR(B32*3.6/1000000/'E Balans VL '!Z20*100),0,B32*3.6/1000000/'E Balans VL '!Z20*100)</f>
        <v>1.2079283848938029</v>
      </c>
      <c r="D32" s="237" t="s">
        <v>692</v>
      </c>
    </row>
    <row r="33" spans="1:5">
      <c r="A33" s="171" t="s">
        <v>40</v>
      </c>
      <c r="B33" s="37">
        <f>IF( ISERROR(IND_textiel_ele_kWh/1000),0,IND_textiel_ele_kWh/1000)</f>
        <v>996.95399999999995</v>
      </c>
      <c r="C33" s="39">
        <f>IF(ISERROR(B33*3.6/1000000/'E Balans VL '!Z21*100),0,B33*3.6/1000000/'E Balans VL '!Z21*100)</f>
        <v>0.11233915429349546</v>
      </c>
      <c r="D33" s="237" t="s">
        <v>692</v>
      </c>
    </row>
    <row r="34" spans="1:5">
      <c r="A34" s="171" t="s">
        <v>37</v>
      </c>
      <c r="B34" s="37">
        <f>IF( ISERROR(IND_min_ele_kWh/1000),0,IND_min_ele_kWh/1000)</f>
        <v>239.4744</v>
      </c>
      <c r="C34" s="39">
        <f>IF(ISERROR(B34*3.6/1000000/'E Balans VL '!Z22*100),0,B34*3.6/1000000/'E Balans VL '!Z22*100)</f>
        <v>6.7953064689564961E-3</v>
      </c>
      <c r="D34" s="237" t="s">
        <v>692</v>
      </c>
    </row>
    <row r="35" spans="1:5">
      <c r="A35" s="171" t="s">
        <v>39</v>
      </c>
      <c r="B35" s="37">
        <f>IF( ISERROR(IND_papier_ele_kWh/1000),0,IND_papier_ele_kWh/1000)</f>
        <v>47.676589999999997</v>
      </c>
      <c r="C35" s="39">
        <f>IF(ISERROR(B35*3.6/1000000/'E Balans VL '!Z22*100),0,B35*3.6/1000000/'E Balans VL '!Z22*100)</f>
        <v>1.3528671141666356E-3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28456.669000000002</v>
      </c>
      <c r="C37" s="39">
        <f>IF(ISERROR(B37*3.6/1000000/'E Balans VL '!Z15*100),0,B37*3.6/1000000/'E Balans VL '!Z15*100)</f>
        <v>0.211001328647102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1387.4234299999998</v>
      </c>
      <c r="C5" s="17">
        <f>'Eigen informatie GS &amp; warmtenet'!B60</f>
        <v>0</v>
      </c>
      <c r="D5" s="30">
        <f>IF(ISERROR(SUM(LB_lb_gas_kWh,LB_rest_gas_kWh,onbekend_gas_kWh)/1000),0,SUM(LB_lb_gas_kWh,LB_rest_gas_kWh,onbekend_gas_kWh)/1000)*0.902</f>
        <v>6223.2486411400041</v>
      </c>
      <c r="E5" s="17">
        <f>B17*'E Balans VL '!I25/3.6*1000000/100</f>
        <v>12.850896915008896</v>
      </c>
      <c r="F5" s="17">
        <f>B17*('E Balans VL '!L25/3.6*1000000+'E Balans VL '!N25/3.6*1000000)/100</f>
        <v>3520.1575458021812</v>
      </c>
      <c r="G5" s="18"/>
      <c r="H5" s="17"/>
      <c r="I5" s="17"/>
      <c r="J5" s="17">
        <f>('E Balans VL '!D25+'E Balans VL '!E25)/3.6*1000000*landbouw!B17/100</f>
        <v>212.70749550966943</v>
      </c>
      <c r="K5" s="17"/>
      <c r="L5" s="17">
        <f>L6*(-1)</f>
        <v>0</v>
      </c>
      <c r="M5" s="17"/>
      <c r="N5" s="17">
        <f>N6*(-1)</f>
        <v>124.71428571428569</v>
      </c>
      <c r="O5" s="17"/>
      <c r="P5" s="17"/>
      <c r="R5" s="32"/>
    </row>
    <row r="6" spans="1:18">
      <c r="A6" s="16" t="s">
        <v>494</v>
      </c>
      <c r="B6" s="17" t="s">
        <v>211</v>
      </c>
      <c r="C6" s="17">
        <f>'lokale energieproductie'!O91+'lokale energieproductie'!O60</f>
        <v>62.357142857142847</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1387.4234299999998</v>
      </c>
      <c r="C8" s="21">
        <f>C5+C6</f>
        <v>62.357142857142847</v>
      </c>
      <c r="D8" s="21">
        <f>MAX((D5+D6),0)</f>
        <v>6223.2486411400041</v>
      </c>
      <c r="E8" s="21">
        <f>MAX((E5+E6),0)</f>
        <v>12.850896915008896</v>
      </c>
      <c r="F8" s="21">
        <f>MAX((F5+F6),0)</f>
        <v>3520.1575458021812</v>
      </c>
      <c r="G8" s="21"/>
      <c r="H8" s="21"/>
      <c r="I8" s="21"/>
      <c r="J8" s="21">
        <f>MAX((J5+J6),0)</f>
        <v>212.70749550966943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0.19455086276831485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269.92442533147465</v>
      </c>
      <c r="C12" s="23">
        <f ca="1">C8*C10</f>
        <v>0</v>
      </c>
      <c r="D12" s="23">
        <f>D8*D10</f>
        <v>1257.0962255102809</v>
      </c>
      <c r="E12" s="23">
        <f>E8*E10</f>
        <v>2.9171535997070195</v>
      </c>
      <c r="F12" s="23">
        <f>F8*F10</f>
        <v>939.88206472918239</v>
      </c>
      <c r="G12" s="23"/>
      <c r="H12" s="23"/>
      <c r="I12" s="23"/>
      <c r="J12" s="23">
        <f>J8*J10</f>
        <v>75.298453410422979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0.19726219328433026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366.25829347816557</v>
      </c>
      <c r="C26" s="247">
        <f>B26*'GWP N2O_CH4'!B5</f>
        <v>7691.4241630414772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130.92346899258794</v>
      </c>
      <c r="C27" s="247">
        <f>B27*'GWP N2O_CH4'!B5</f>
        <v>2749.3928488443466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5.156675013062797</v>
      </c>
      <c r="C28" s="247">
        <f>B28*'GWP N2O_CH4'!B4</f>
        <v>1598.569254049467</v>
      </c>
      <c r="D28" s="50"/>
    </row>
    <row r="29" spans="1:4">
      <c r="A29" s="41" t="s">
        <v>277</v>
      </c>
      <c r="B29" s="247">
        <f>B34*'ha_N2O bodem landbouw'!B4</f>
        <v>12.140689628678919</v>
      </c>
      <c r="C29" s="247">
        <f>B29*'GWP N2O_CH4'!B4</f>
        <v>3763.613784890465</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2.7229427974154313E-3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1.4553844143215132E-4</v>
      </c>
      <c r="C5" s="464" t="s">
        <v>211</v>
      </c>
      <c r="D5" s="449">
        <f>SUM(D6:D11)</f>
        <v>4.0837565921950927E-4</v>
      </c>
      <c r="E5" s="449">
        <f>SUM(E6:E11)</f>
        <v>2.8177636190821979E-3</v>
      </c>
      <c r="F5" s="462" t="s">
        <v>211</v>
      </c>
      <c r="G5" s="449">
        <f>SUM(G6:G11)</f>
        <v>0.96447170922674252</v>
      </c>
      <c r="H5" s="449">
        <f>SUM(H6:H11)</f>
        <v>0.15629847331361377</v>
      </c>
      <c r="I5" s="464" t="s">
        <v>211</v>
      </c>
      <c r="J5" s="464" t="s">
        <v>211</v>
      </c>
      <c r="K5" s="464" t="s">
        <v>211</v>
      </c>
      <c r="L5" s="464" t="s">
        <v>211</v>
      </c>
      <c r="M5" s="449">
        <f>SUM(M6:M11)</f>
        <v>6.0601703409947666E-2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4.8994738889622039E-5</v>
      </c>
      <c r="C6" s="450"/>
      <c r="D6" s="963">
        <f>vkm_2011_GW_PW*SUMIFS(TableVerdeelsleutelVkm[CNG],TableVerdeelsleutelVkm[Voertuigtype],"Lichte voertuigen")*SUMIFS(TableECFTransport[EnergieConsumptieFactor (PJ per km)],TableECFTransport[Index],CONCATENATE($A6,"_CNG_CNG"))</f>
        <v>1.1333022514899872E-4</v>
      </c>
      <c r="E6" s="963">
        <f>vkm_2011_GW_PW*SUMIFS(TableVerdeelsleutelVkm[LPG],TableVerdeelsleutelVkm[Voertuigtype],"Lichte voertuigen")*SUMIFS(TableECFTransport[EnergieConsumptieFactor (PJ per km)],TableECFTransport[Index],CONCATENATE($A6,"_LPG_LPG"))</f>
        <v>7.3793798796431347E-4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0.15330115753517307</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4.3212428246091637E-2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1.0198036389020511E-2</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9.9461485405524214E-2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3.4014021703972512E-5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5.7544107039936409E-3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3.6555123413095151E-5</v>
      </c>
      <c r="C8" s="450"/>
      <c r="D8" s="452">
        <f>vkm_2011_NGW_PW*SUMIFS(TableVerdeelsleutelVkm[CNG],TableVerdeelsleutelVkm[Voertuigtype],"Lichte voertuigen")*SUMIFS(TableECFTransport[EnergieConsumptieFactor (PJ per km)],TableECFTransport[Index],CONCATENATE($A8,"_CNG_CNG"))</f>
        <v>1.4955489725078272E-4</v>
      </c>
      <c r="E8" s="452">
        <f>vkm_2011_NGW_PW*SUMIFS(TableVerdeelsleutelVkm[LPG],TableVerdeelsleutelVkm[Voertuigtype],"Lichte voertuigen")*SUMIFS(TableECFTransport[EnergieConsumptieFactor (PJ per km)],TableECFTransport[Index],CONCATENATE($A8,"_LPG_LPG"))</f>
        <v>8.9872640327164012E-4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0.17453134722827665</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5.513893017923048E-2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1.1793261144113712E-2</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4.1929731668786226E-2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1.3567972741794426E-5</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2.4258489028404239E-3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5.9988579129434142E-5</v>
      </c>
      <c r="C10" s="450"/>
      <c r="D10" s="452">
        <f>vkm_2011_SW_PW*SUMIFS(TableVerdeelsleutelVkm[CNG],TableVerdeelsleutelVkm[Voertuigtype],"Lichte voertuigen")*SUMIFS(TableECFTransport[EnergieConsumptieFactor (PJ per km)],TableECFTransport[Index],CONCATENATE($A10,"_CNG_CNG"))</f>
        <v>1.4549053681972785E-4</v>
      </c>
      <c r="E10" s="452">
        <f>vkm_2011_SW_PW*SUMIFS(TableVerdeelsleutelVkm[LPG],TableVerdeelsleutelVkm[Voertuigtype],"Lichte voertuigen")*SUMIFS(TableECFTransport[EnergieConsumptieFactor (PJ per km)],TableECFTransport[Index],CONCATENATE($A10,"_LPG_LPG"))</f>
        <v>1.1810992278462442E-3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0.2208994679010024</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5.7798418382742869E-2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1.4557304843666465E-2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0.27434851948798006</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1.0111451110302569E-4</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1.5872841426312911E-2</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40.427344842264262</v>
      </c>
      <c r="C14" s="21"/>
      <c r="D14" s="21">
        <f t="shared" ref="D14:M14" si="0">((D5)*10^9/3600)+D12</f>
        <v>113.43768311653035</v>
      </c>
      <c r="E14" s="21">
        <f t="shared" si="0"/>
        <v>782.71211641172169</v>
      </c>
      <c r="F14" s="21"/>
      <c r="G14" s="21">
        <f t="shared" si="0"/>
        <v>267908.80811853957</v>
      </c>
      <c r="H14" s="21">
        <f t="shared" si="0"/>
        <v>43416.242587114939</v>
      </c>
      <c r="I14" s="21"/>
      <c r="J14" s="21"/>
      <c r="K14" s="21"/>
      <c r="L14" s="21"/>
      <c r="M14" s="21">
        <f t="shared" si="0"/>
        <v>16833.80650276324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0.19455086276831485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7.8651748184946957</v>
      </c>
      <c r="C18" s="23"/>
      <c r="D18" s="23">
        <f t="shared" ref="D18:M18" si="1">D14*D16</f>
        <v>22.914411989539133</v>
      </c>
      <c r="E18" s="23">
        <f t="shared" si="1"/>
        <v>177.67565042546084</v>
      </c>
      <c r="F18" s="23"/>
      <c r="G18" s="23">
        <f t="shared" si="1"/>
        <v>71531.651767650066</v>
      </c>
      <c r="H18" s="23">
        <f t="shared" si="1"/>
        <v>10810.64440419162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8.163414139518663E-3</v>
      </c>
      <c r="H50" s="321">
        <f t="shared" si="2"/>
        <v>0</v>
      </c>
      <c r="I50" s="321">
        <f t="shared" si="2"/>
        <v>0</v>
      </c>
      <c r="J50" s="321">
        <f t="shared" si="2"/>
        <v>0</v>
      </c>
      <c r="K50" s="321">
        <f t="shared" si="2"/>
        <v>0</v>
      </c>
      <c r="L50" s="321">
        <f t="shared" si="2"/>
        <v>0</v>
      </c>
      <c r="M50" s="321">
        <f t="shared" si="2"/>
        <v>4.6553571073899023E-4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8.163414139518663E-3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4.6553571073899023E-4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2267.6150387551843</v>
      </c>
      <c r="H54" s="21">
        <f t="shared" si="3"/>
        <v>0</v>
      </c>
      <c r="I54" s="21">
        <f t="shared" si="3"/>
        <v>0</v>
      </c>
      <c r="J54" s="21">
        <f t="shared" si="3"/>
        <v>0</v>
      </c>
      <c r="K54" s="21">
        <f t="shared" si="3"/>
        <v>0</v>
      </c>
      <c r="L54" s="21">
        <f t="shared" si="3"/>
        <v>0</v>
      </c>
      <c r="M54" s="21">
        <f t="shared" si="3"/>
        <v>129.31547520527505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0.19455086276831485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605.45321534763423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16014.650923135003</v>
      </c>
      <c r="C6" s="1223"/>
      <c r="D6" s="1226"/>
      <c r="E6" s="1226"/>
      <c r="F6" s="1229"/>
      <c r="G6" s="1232"/>
      <c r="H6" s="1220"/>
      <c r="I6" s="1226"/>
      <c r="J6" s="1226"/>
      <c r="K6" s="1226"/>
      <c r="L6" s="1256"/>
      <c r="M6" s="576"/>
      <c r="N6" s="1268"/>
      <c r="O6" s="1269"/>
      <c r="Q6" s="574"/>
      <c r="R6" s="1253"/>
      <c r="S6" s="1253"/>
    </row>
    <row r="7" spans="1:19" s="564" customFormat="1">
      <c r="A7" s="577" t="s">
        <v>252</v>
      </c>
      <c r="B7" s="578">
        <f>N57</f>
        <v>43.649999999999991</v>
      </c>
      <c r="C7" s="579">
        <f>B100</f>
        <v>0</v>
      </c>
      <c r="D7" s="580"/>
      <c r="E7" s="580">
        <f>E100</f>
        <v>0</v>
      </c>
      <c r="F7" s="581"/>
      <c r="G7" s="582"/>
      <c r="H7" s="580">
        <f>I100</f>
        <v>0</v>
      </c>
      <c r="I7" s="580">
        <f>G100+F100</f>
        <v>0</v>
      </c>
      <c r="J7" s="580">
        <f>H100+D100+C100</f>
        <v>51.35294117647058</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16058.300923135002</v>
      </c>
      <c r="C9" s="595">
        <f t="shared" ref="C9:L9" si="0">SUM(C7:C8)</f>
        <v>0</v>
      </c>
      <c r="D9" s="595">
        <f t="shared" si="0"/>
        <v>0</v>
      </c>
      <c r="E9" s="595">
        <f t="shared" si="0"/>
        <v>0</v>
      </c>
      <c r="F9" s="595">
        <f t="shared" si="0"/>
        <v>0</v>
      </c>
      <c r="G9" s="595">
        <f t="shared" si="0"/>
        <v>0</v>
      </c>
      <c r="H9" s="595">
        <f t="shared" si="0"/>
        <v>0</v>
      </c>
      <c r="I9" s="595">
        <f t="shared" si="0"/>
        <v>0</v>
      </c>
      <c r="J9" s="595">
        <f t="shared" si="0"/>
        <v>51.35294117647058</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62.357142857142847</v>
      </c>
      <c r="C16" s="611">
        <f>B101</f>
        <v>0</v>
      </c>
      <c r="D16" s="612"/>
      <c r="E16" s="612">
        <f>E101</f>
        <v>0</v>
      </c>
      <c r="F16" s="613"/>
      <c r="G16" s="614"/>
      <c r="H16" s="611">
        <f>I101</f>
        <v>0</v>
      </c>
      <c r="I16" s="612">
        <f>G101+F101</f>
        <v>0</v>
      </c>
      <c r="J16" s="612">
        <f>H101+D101+C101</f>
        <v>73.361344537815114</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62.357142857142847</v>
      </c>
      <c r="C19" s="594">
        <f>SUM(C16:C18)</f>
        <v>0</v>
      </c>
      <c r="D19" s="594">
        <f t="shared" ref="D19:M19" si="1">SUM(D16:D18)</f>
        <v>0</v>
      </c>
      <c r="E19" s="594">
        <f t="shared" si="1"/>
        <v>0</v>
      </c>
      <c r="F19" s="594">
        <f t="shared" si="1"/>
        <v>0</v>
      </c>
      <c r="G19" s="594">
        <f t="shared" si="1"/>
        <v>0</v>
      </c>
      <c r="H19" s="594">
        <f t="shared" si="1"/>
        <v>0</v>
      </c>
      <c r="I19" s="594">
        <f t="shared" si="1"/>
        <v>0</v>
      </c>
      <c r="J19" s="594">
        <f t="shared" si="1"/>
        <v>73.361344537815114</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46025</v>
      </c>
      <c r="C27" s="852">
        <v>9140</v>
      </c>
      <c r="D27" s="673" t="s">
        <v>871</v>
      </c>
      <c r="E27" s="672" t="s">
        <v>872</v>
      </c>
      <c r="F27" s="672" t="s">
        <v>873</v>
      </c>
      <c r="G27" s="672" t="s">
        <v>874</v>
      </c>
      <c r="H27" s="672" t="s">
        <v>875</v>
      </c>
      <c r="I27" s="672" t="s">
        <v>872</v>
      </c>
      <c r="J27" s="851">
        <v>41158</v>
      </c>
      <c r="K27" s="851">
        <v>41275</v>
      </c>
      <c r="L27" s="672" t="s">
        <v>876</v>
      </c>
      <c r="M27" s="672">
        <v>9.6999999999999993</v>
      </c>
      <c r="N27" s="672">
        <v>43.649999999999991</v>
      </c>
      <c r="O27" s="672">
        <v>62.357142857142847</v>
      </c>
      <c r="P27" s="672">
        <v>0</v>
      </c>
      <c r="Q27" s="672">
        <v>124.71428571428569</v>
      </c>
      <c r="R27" s="672">
        <v>0</v>
      </c>
      <c r="S27" s="672">
        <v>0</v>
      </c>
      <c r="T27" s="672">
        <v>0</v>
      </c>
      <c r="U27" s="672">
        <v>0</v>
      </c>
      <c r="V27" s="672">
        <v>0</v>
      </c>
      <c r="W27" s="672">
        <v>0</v>
      </c>
      <c r="X27" s="672">
        <v>10</v>
      </c>
      <c r="Y27" s="672" t="s">
        <v>112</v>
      </c>
      <c r="Z27" s="674" t="s">
        <v>112</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9.6999999999999993</v>
      </c>
      <c r="N57" s="630">
        <f>SUM(N27:N56)</f>
        <v>43.649999999999991</v>
      </c>
      <c r="O57" s="630">
        <f t="shared" ref="O57:W57" si="2">SUM(O27:O56)</f>
        <v>62.357142857142847</v>
      </c>
      <c r="P57" s="630">
        <f t="shared" si="2"/>
        <v>0</v>
      </c>
      <c r="Q57" s="630">
        <f t="shared" si="2"/>
        <v>124.71428571428569</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9.6999999999999993</v>
      </c>
      <c r="N60" s="635">
        <f t="shared" ref="N60:W60" si="4">SUMIF($Z$27:$Z$56,"landbouw",N27:N56)</f>
        <v>43.649999999999991</v>
      </c>
      <c r="O60" s="635">
        <f t="shared" si="4"/>
        <v>62.357142857142847</v>
      </c>
      <c r="P60" s="635">
        <f t="shared" si="4"/>
        <v>0</v>
      </c>
      <c r="Q60" s="635">
        <f t="shared" si="4"/>
        <v>124.71428571428569</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51.35294117647058</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73.361344537815114</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41216.725599999998</v>
      </c>
      <c r="D10" s="719">
        <f ca="1">tertiair!C16</f>
        <v>0</v>
      </c>
      <c r="E10" s="719">
        <f ca="1">tertiair!D16</f>
        <v>36233.859986393829</v>
      </c>
      <c r="F10" s="719">
        <f>tertiair!E16</f>
        <v>334.17669827105971</v>
      </c>
      <c r="G10" s="719">
        <f ca="1">tertiair!F16</f>
        <v>5613.7441460801429</v>
      </c>
      <c r="H10" s="719">
        <f>tertiair!G16</f>
        <v>0</v>
      </c>
      <c r="I10" s="719">
        <f>tertiair!H16</f>
        <v>0</v>
      </c>
      <c r="J10" s="719">
        <f>tertiair!I16</f>
        <v>0</v>
      </c>
      <c r="K10" s="719">
        <f>tertiair!J16</f>
        <v>0</v>
      </c>
      <c r="L10" s="719">
        <f>tertiair!K16</f>
        <v>0</v>
      </c>
      <c r="M10" s="719">
        <f ca="1">tertiair!L16</f>
        <v>0</v>
      </c>
      <c r="N10" s="719">
        <f>tertiair!M16</f>
        <v>0</v>
      </c>
      <c r="O10" s="719">
        <f ca="1">tertiair!N16</f>
        <v>3403.3152966149892</v>
      </c>
      <c r="P10" s="719">
        <f>tertiair!O16</f>
        <v>4.6900000000000004</v>
      </c>
      <c r="Q10" s="720">
        <f>tertiair!P16</f>
        <v>38.133333333333333</v>
      </c>
      <c r="R10" s="722">
        <f ca="1">SUM(C10:Q10)</f>
        <v>86844.645060693365</v>
      </c>
      <c r="S10" s="67"/>
    </row>
    <row r="11" spans="1:19" s="475" customFormat="1">
      <c r="A11" s="871" t="s">
        <v>225</v>
      </c>
      <c r="B11" s="876"/>
      <c r="C11" s="719">
        <f>huishoudens!B8</f>
        <v>51527.743540047064</v>
      </c>
      <c r="D11" s="719">
        <f>huishoudens!C8</f>
        <v>0</v>
      </c>
      <c r="E11" s="719">
        <f>huishoudens!D8</f>
        <v>110537.07099383428</v>
      </c>
      <c r="F11" s="719">
        <f>huishoudens!E8</f>
        <v>4014.5974677587469</v>
      </c>
      <c r="G11" s="719">
        <f>huishoudens!F8</f>
        <v>0</v>
      </c>
      <c r="H11" s="719">
        <f>huishoudens!G8</f>
        <v>0</v>
      </c>
      <c r="I11" s="719">
        <f>huishoudens!H8</f>
        <v>0</v>
      </c>
      <c r="J11" s="719">
        <f>huishoudens!I8</f>
        <v>0</v>
      </c>
      <c r="K11" s="719">
        <f>huishoudens!J8</f>
        <v>3021.4658203246281</v>
      </c>
      <c r="L11" s="719">
        <f>huishoudens!K8</f>
        <v>0</v>
      </c>
      <c r="M11" s="719">
        <f>huishoudens!L8</f>
        <v>0</v>
      </c>
      <c r="N11" s="719">
        <f>huishoudens!M8</f>
        <v>0</v>
      </c>
      <c r="O11" s="719">
        <f>huishoudens!N8</f>
        <v>18784.945463450516</v>
      </c>
      <c r="P11" s="719">
        <f>huishoudens!O8</f>
        <v>228.2466666666667</v>
      </c>
      <c r="Q11" s="720">
        <f>huishoudens!P8</f>
        <v>991.4666666666667</v>
      </c>
      <c r="R11" s="722">
        <f>SUM(C11:Q11)</f>
        <v>189105.53661874859</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40005.383990000002</v>
      </c>
      <c r="D13" s="719">
        <f>industrie!C18</f>
        <v>0</v>
      </c>
      <c r="E13" s="719">
        <f>industrie!D18</f>
        <v>25981.31324190033</v>
      </c>
      <c r="F13" s="719">
        <f>industrie!E18</f>
        <v>2571.5867952449444</v>
      </c>
      <c r="G13" s="719">
        <f>industrie!F18</f>
        <v>19221.763638277556</v>
      </c>
      <c r="H13" s="719">
        <f>industrie!G18</f>
        <v>0</v>
      </c>
      <c r="I13" s="719">
        <f>industrie!H18</f>
        <v>0</v>
      </c>
      <c r="J13" s="719">
        <f>industrie!I18</f>
        <v>0</v>
      </c>
      <c r="K13" s="719">
        <f>industrie!J18</f>
        <v>236.51548348047302</v>
      </c>
      <c r="L13" s="719">
        <f>industrie!K18</f>
        <v>0</v>
      </c>
      <c r="M13" s="719">
        <f>industrie!L18</f>
        <v>0</v>
      </c>
      <c r="N13" s="719">
        <f>industrie!M18</f>
        <v>0</v>
      </c>
      <c r="O13" s="719">
        <f>industrie!N18</f>
        <v>9201.4551518462904</v>
      </c>
      <c r="P13" s="719">
        <f>industrie!O18</f>
        <v>0</v>
      </c>
      <c r="Q13" s="720">
        <f>industrie!P18</f>
        <v>0</v>
      </c>
      <c r="R13" s="722">
        <f>SUM(C13:Q13)</f>
        <v>97218.018300749594</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132749.85313004706</v>
      </c>
      <c r="D15" s="724">
        <f t="shared" ref="D15:Q15" ca="1" si="0">SUM(D9:D14)</f>
        <v>0</v>
      </c>
      <c r="E15" s="724">
        <f t="shared" ca="1" si="0"/>
        <v>172752.24422212844</v>
      </c>
      <c r="F15" s="724">
        <f t="shared" si="0"/>
        <v>6920.3609612747514</v>
      </c>
      <c r="G15" s="724">
        <f t="shared" ca="1" si="0"/>
        <v>24835.507784357698</v>
      </c>
      <c r="H15" s="724">
        <f t="shared" si="0"/>
        <v>0</v>
      </c>
      <c r="I15" s="724">
        <f t="shared" si="0"/>
        <v>0</v>
      </c>
      <c r="J15" s="724">
        <f t="shared" si="0"/>
        <v>0</v>
      </c>
      <c r="K15" s="724">
        <f t="shared" si="0"/>
        <v>3257.9813038051011</v>
      </c>
      <c r="L15" s="724">
        <f t="shared" si="0"/>
        <v>0</v>
      </c>
      <c r="M15" s="724">
        <f t="shared" ca="1" si="0"/>
        <v>0</v>
      </c>
      <c r="N15" s="724">
        <f t="shared" si="0"/>
        <v>0</v>
      </c>
      <c r="O15" s="724">
        <f t="shared" ca="1" si="0"/>
        <v>31389.715911911797</v>
      </c>
      <c r="P15" s="724">
        <f t="shared" si="0"/>
        <v>232.9366666666667</v>
      </c>
      <c r="Q15" s="725">
        <f t="shared" si="0"/>
        <v>1029.6000000000001</v>
      </c>
      <c r="R15" s="726">
        <f ca="1">SUM(R9:R14)</f>
        <v>373168.19998019154</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2267.6150387551843</v>
      </c>
      <c r="I18" s="719">
        <f>transport!H54</f>
        <v>0</v>
      </c>
      <c r="J18" s="719">
        <f>transport!I54</f>
        <v>0</v>
      </c>
      <c r="K18" s="719">
        <f>transport!J54</f>
        <v>0</v>
      </c>
      <c r="L18" s="719">
        <f>transport!K54</f>
        <v>0</v>
      </c>
      <c r="M18" s="719">
        <f>transport!L54</f>
        <v>0</v>
      </c>
      <c r="N18" s="719">
        <f>transport!M54</f>
        <v>129.31547520527505</v>
      </c>
      <c r="O18" s="719">
        <f>transport!N54</f>
        <v>0</v>
      </c>
      <c r="P18" s="719">
        <f>transport!O54</f>
        <v>0</v>
      </c>
      <c r="Q18" s="720">
        <f>transport!P54</f>
        <v>0</v>
      </c>
      <c r="R18" s="722">
        <f>SUM(C18:Q18)</f>
        <v>2396.9305139604594</v>
      </c>
      <c r="S18" s="67"/>
    </row>
    <row r="19" spans="1:19" s="475" customFormat="1" ht="15" thickBot="1">
      <c r="A19" s="871" t="s">
        <v>307</v>
      </c>
      <c r="B19" s="876"/>
      <c r="C19" s="728">
        <f>transport!B14</f>
        <v>40.427344842264262</v>
      </c>
      <c r="D19" s="728">
        <f>transport!C14</f>
        <v>0</v>
      </c>
      <c r="E19" s="728">
        <f>transport!D14</f>
        <v>113.43768311653035</v>
      </c>
      <c r="F19" s="728">
        <f>transport!E14</f>
        <v>782.71211641172169</v>
      </c>
      <c r="G19" s="728">
        <f>transport!F14</f>
        <v>0</v>
      </c>
      <c r="H19" s="728">
        <f>transport!G14</f>
        <v>267908.80811853957</v>
      </c>
      <c r="I19" s="728">
        <f>transport!H14</f>
        <v>43416.242587114939</v>
      </c>
      <c r="J19" s="728">
        <f>transport!I14</f>
        <v>0</v>
      </c>
      <c r="K19" s="728">
        <f>transport!J14</f>
        <v>0</v>
      </c>
      <c r="L19" s="728">
        <f>transport!K14</f>
        <v>0</v>
      </c>
      <c r="M19" s="728">
        <f>transport!L14</f>
        <v>0</v>
      </c>
      <c r="N19" s="728">
        <f>transport!M14</f>
        <v>16833.80650276324</v>
      </c>
      <c r="O19" s="728">
        <f>transport!N14</f>
        <v>0</v>
      </c>
      <c r="P19" s="728">
        <f>transport!O14</f>
        <v>0</v>
      </c>
      <c r="Q19" s="729">
        <f>transport!P14</f>
        <v>0</v>
      </c>
      <c r="R19" s="730">
        <f>SUM(C19:Q19)</f>
        <v>329095.43435278826</v>
      </c>
      <c r="S19" s="67"/>
    </row>
    <row r="20" spans="1:19" s="475" customFormat="1" ht="15.75" thickBot="1">
      <c r="A20" s="731" t="s">
        <v>230</v>
      </c>
      <c r="B20" s="879"/>
      <c r="C20" s="874">
        <f>SUM(C17:C19)</f>
        <v>40.427344842264262</v>
      </c>
      <c r="D20" s="732">
        <f t="shared" ref="D20:R20" si="1">SUM(D17:D19)</f>
        <v>0</v>
      </c>
      <c r="E20" s="732">
        <f t="shared" si="1"/>
        <v>113.43768311653035</v>
      </c>
      <c r="F20" s="732">
        <f t="shared" si="1"/>
        <v>782.71211641172169</v>
      </c>
      <c r="G20" s="732">
        <f t="shared" si="1"/>
        <v>0</v>
      </c>
      <c r="H20" s="732">
        <f t="shared" si="1"/>
        <v>270176.42315729475</v>
      </c>
      <c r="I20" s="732">
        <f t="shared" si="1"/>
        <v>43416.242587114939</v>
      </c>
      <c r="J20" s="732">
        <f t="shared" si="1"/>
        <v>0</v>
      </c>
      <c r="K20" s="732">
        <f t="shared" si="1"/>
        <v>0</v>
      </c>
      <c r="L20" s="732">
        <f t="shared" si="1"/>
        <v>0</v>
      </c>
      <c r="M20" s="732">
        <f t="shared" si="1"/>
        <v>0</v>
      </c>
      <c r="N20" s="732">
        <f t="shared" si="1"/>
        <v>16963.121977968516</v>
      </c>
      <c r="O20" s="732">
        <f t="shared" si="1"/>
        <v>0</v>
      </c>
      <c r="P20" s="732">
        <f t="shared" si="1"/>
        <v>0</v>
      </c>
      <c r="Q20" s="733">
        <f t="shared" si="1"/>
        <v>0</v>
      </c>
      <c r="R20" s="734">
        <f t="shared" si="1"/>
        <v>331492.36486674874</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1387.4234299999998</v>
      </c>
      <c r="D22" s="728">
        <f>+landbouw!C8</f>
        <v>62.357142857142847</v>
      </c>
      <c r="E22" s="728">
        <f>+landbouw!D8</f>
        <v>6223.2486411400041</v>
      </c>
      <c r="F22" s="728">
        <f>+landbouw!E8</f>
        <v>12.850896915008896</v>
      </c>
      <c r="G22" s="728">
        <f>+landbouw!F8</f>
        <v>3520.1575458021812</v>
      </c>
      <c r="H22" s="728">
        <f>+landbouw!G8</f>
        <v>0</v>
      </c>
      <c r="I22" s="728">
        <f>+landbouw!H8</f>
        <v>0</v>
      </c>
      <c r="J22" s="728">
        <f>+landbouw!I8</f>
        <v>0</v>
      </c>
      <c r="K22" s="728">
        <f>+landbouw!J8</f>
        <v>212.70749550966943</v>
      </c>
      <c r="L22" s="728">
        <f>+landbouw!K8</f>
        <v>0</v>
      </c>
      <c r="M22" s="728">
        <f>+landbouw!L8</f>
        <v>0</v>
      </c>
      <c r="N22" s="728">
        <f>+landbouw!M8</f>
        <v>0</v>
      </c>
      <c r="O22" s="728">
        <f>+landbouw!N8</f>
        <v>0</v>
      </c>
      <c r="P22" s="728">
        <f>+landbouw!O8</f>
        <v>0</v>
      </c>
      <c r="Q22" s="729">
        <f>+landbouw!P8</f>
        <v>0</v>
      </c>
      <c r="R22" s="730">
        <f>SUM(C22:Q22)</f>
        <v>11418.745152224006</v>
      </c>
      <c r="S22" s="67"/>
    </row>
    <row r="23" spans="1:19" s="475" customFormat="1" ht="17.25" thickTop="1" thickBot="1">
      <c r="A23" s="735" t="s">
        <v>116</v>
      </c>
      <c r="B23" s="865"/>
      <c r="C23" s="736">
        <f ca="1">C20+C15+C22</f>
        <v>134177.70390488932</v>
      </c>
      <c r="D23" s="736">
        <f t="shared" ref="D23:Q23" ca="1" si="2">D20+D15+D22</f>
        <v>62.357142857142847</v>
      </c>
      <c r="E23" s="736">
        <f t="shared" ca="1" si="2"/>
        <v>179088.93054638497</v>
      </c>
      <c r="F23" s="736">
        <f t="shared" si="2"/>
        <v>7715.9239746014819</v>
      </c>
      <c r="G23" s="736">
        <f t="shared" ca="1" si="2"/>
        <v>28355.665330159878</v>
      </c>
      <c r="H23" s="736">
        <f t="shared" si="2"/>
        <v>270176.42315729475</v>
      </c>
      <c r="I23" s="736">
        <f t="shared" si="2"/>
        <v>43416.242587114939</v>
      </c>
      <c r="J23" s="736">
        <f t="shared" si="2"/>
        <v>0</v>
      </c>
      <c r="K23" s="736">
        <f t="shared" si="2"/>
        <v>3470.6887993147707</v>
      </c>
      <c r="L23" s="736">
        <f t="shared" si="2"/>
        <v>0</v>
      </c>
      <c r="M23" s="736">
        <f t="shared" ca="1" si="2"/>
        <v>0</v>
      </c>
      <c r="N23" s="736">
        <f t="shared" si="2"/>
        <v>16963.121977968516</v>
      </c>
      <c r="O23" s="736">
        <f t="shared" ca="1" si="2"/>
        <v>31389.715911911797</v>
      </c>
      <c r="P23" s="736">
        <f t="shared" si="2"/>
        <v>232.9366666666667</v>
      </c>
      <c r="Q23" s="737">
        <f t="shared" si="2"/>
        <v>1029.6000000000001</v>
      </c>
      <c r="R23" s="738">
        <f ca="1">R20+R15+R22</f>
        <v>716079.30999916431</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8018.7495259648886</v>
      </c>
      <c r="D36" s="719">
        <f ca="1">tertiair!C20</f>
        <v>0</v>
      </c>
      <c r="E36" s="719">
        <f ca="1">tertiair!D20</f>
        <v>7319.2397172515539</v>
      </c>
      <c r="F36" s="719">
        <f>tertiair!E20</f>
        <v>75.858110507530554</v>
      </c>
      <c r="G36" s="719">
        <f ca="1">tertiair!F20</f>
        <v>1498.8696870033982</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16912.71704072737</v>
      </c>
    </row>
    <row r="37" spans="1:18">
      <c r="A37" s="886" t="s">
        <v>225</v>
      </c>
      <c r="B37" s="893"/>
      <c r="C37" s="719">
        <f ca="1">huishoudens!B12</f>
        <v>10024.766962220618</v>
      </c>
      <c r="D37" s="719">
        <f ca="1">huishoudens!C12</f>
        <v>0</v>
      </c>
      <c r="E37" s="719">
        <f>huishoudens!D12</f>
        <v>22328.488340754524</v>
      </c>
      <c r="F37" s="719">
        <f>huishoudens!E12</f>
        <v>911.31362518123558</v>
      </c>
      <c r="G37" s="719">
        <f>huishoudens!F12</f>
        <v>0</v>
      </c>
      <c r="H37" s="719">
        <f>huishoudens!G12</f>
        <v>0</v>
      </c>
      <c r="I37" s="719">
        <f>huishoudens!H12</f>
        <v>0</v>
      </c>
      <c r="J37" s="719">
        <f>huishoudens!I12</f>
        <v>0</v>
      </c>
      <c r="K37" s="719">
        <f>huishoudens!J12</f>
        <v>1069.5989003949182</v>
      </c>
      <c r="L37" s="719">
        <f>huishoudens!K12</f>
        <v>0</v>
      </c>
      <c r="M37" s="719">
        <f>huishoudens!L12</f>
        <v>0</v>
      </c>
      <c r="N37" s="719">
        <f>huishoudens!M12</f>
        <v>0</v>
      </c>
      <c r="O37" s="719">
        <f>huishoudens!N12</f>
        <v>0</v>
      </c>
      <c r="P37" s="719">
        <f>huishoudens!O12</f>
        <v>0</v>
      </c>
      <c r="Q37" s="829">
        <f>huishoudens!P12</f>
        <v>0</v>
      </c>
      <c r="R37" s="918">
        <f ca="1">SUM(C37:Q37)</f>
        <v>34334.167828551297</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7783.08197063223</v>
      </c>
      <c r="D39" s="719">
        <f ca="1">industrie!C22</f>
        <v>0</v>
      </c>
      <c r="E39" s="719">
        <f>industrie!D22</f>
        <v>5248.2252748638675</v>
      </c>
      <c r="F39" s="719">
        <f>industrie!E22</f>
        <v>583.75020252060244</v>
      </c>
      <c r="G39" s="719">
        <f>industrie!F22</f>
        <v>5132.2108914201081</v>
      </c>
      <c r="H39" s="719">
        <f>industrie!G22</f>
        <v>0</v>
      </c>
      <c r="I39" s="719">
        <f>industrie!H22</f>
        <v>0</v>
      </c>
      <c r="J39" s="719">
        <f>industrie!I22</f>
        <v>0</v>
      </c>
      <c r="K39" s="719">
        <f>industrie!J22</f>
        <v>83.726481152087445</v>
      </c>
      <c r="L39" s="719">
        <f>industrie!K22</f>
        <v>0</v>
      </c>
      <c r="M39" s="719">
        <f>industrie!L22</f>
        <v>0</v>
      </c>
      <c r="N39" s="719">
        <f>industrie!M22</f>
        <v>0</v>
      </c>
      <c r="O39" s="719">
        <f>industrie!N22</f>
        <v>0</v>
      </c>
      <c r="P39" s="719">
        <f>industrie!O22</f>
        <v>0</v>
      </c>
      <c r="Q39" s="829">
        <f>industrie!P22</f>
        <v>0</v>
      </c>
      <c r="R39" s="919">
        <f ca="1">SUM(C39:Q39)</f>
        <v>18830.994820588894</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25826.598458817734</v>
      </c>
      <c r="D41" s="764">
        <f t="shared" ref="D41:R41" ca="1" si="4">SUM(D35:D40)</f>
        <v>0</v>
      </c>
      <c r="E41" s="764">
        <f t="shared" ca="1" si="4"/>
        <v>34895.953332869947</v>
      </c>
      <c r="F41" s="764">
        <f t="shared" si="4"/>
        <v>1570.9219382093686</v>
      </c>
      <c r="G41" s="764">
        <f t="shared" ca="1" si="4"/>
        <v>6631.0805784235063</v>
      </c>
      <c r="H41" s="764">
        <f t="shared" si="4"/>
        <v>0</v>
      </c>
      <c r="I41" s="764">
        <f t="shared" si="4"/>
        <v>0</v>
      </c>
      <c r="J41" s="764">
        <f t="shared" si="4"/>
        <v>0</v>
      </c>
      <c r="K41" s="764">
        <f t="shared" si="4"/>
        <v>1153.3253815470057</v>
      </c>
      <c r="L41" s="764">
        <f t="shared" si="4"/>
        <v>0</v>
      </c>
      <c r="M41" s="764">
        <f t="shared" ca="1" si="4"/>
        <v>0</v>
      </c>
      <c r="N41" s="764">
        <f t="shared" si="4"/>
        <v>0</v>
      </c>
      <c r="O41" s="764">
        <f t="shared" ca="1" si="4"/>
        <v>0</v>
      </c>
      <c r="P41" s="764">
        <f t="shared" si="4"/>
        <v>0</v>
      </c>
      <c r="Q41" s="765">
        <f t="shared" si="4"/>
        <v>0</v>
      </c>
      <c r="R41" s="766">
        <f t="shared" ca="1" si="4"/>
        <v>70077.879689867565</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605.45321534763423</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605.45321534763423</v>
      </c>
    </row>
    <row r="45" spans="1:18" ht="15" thickBot="1">
      <c r="A45" s="889" t="s">
        <v>307</v>
      </c>
      <c r="B45" s="899"/>
      <c r="C45" s="728">
        <f ca="1">transport!B18</f>
        <v>7.8651748184946957</v>
      </c>
      <c r="D45" s="728">
        <f>transport!C18</f>
        <v>0</v>
      </c>
      <c r="E45" s="728">
        <f>transport!D18</f>
        <v>22.914411989539133</v>
      </c>
      <c r="F45" s="728">
        <f>transport!E18</f>
        <v>177.67565042546084</v>
      </c>
      <c r="G45" s="728">
        <f>transport!F18</f>
        <v>0</v>
      </c>
      <c r="H45" s="728">
        <f>transport!G18</f>
        <v>71531.651767650066</v>
      </c>
      <c r="I45" s="728">
        <f>transport!H18</f>
        <v>10810.64440419162</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82550.751409075179</v>
      </c>
    </row>
    <row r="46" spans="1:18" ht="15.75" thickBot="1">
      <c r="A46" s="887" t="s">
        <v>230</v>
      </c>
      <c r="B46" s="900"/>
      <c r="C46" s="764">
        <f t="shared" ref="C46:R46" ca="1" si="5">SUM(C43:C45)</f>
        <v>7.8651748184946957</v>
      </c>
      <c r="D46" s="764">
        <f t="shared" ca="1" si="5"/>
        <v>0</v>
      </c>
      <c r="E46" s="764">
        <f t="shared" si="5"/>
        <v>22.914411989539133</v>
      </c>
      <c r="F46" s="764">
        <f t="shared" si="5"/>
        <v>177.67565042546084</v>
      </c>
      <c r="G46" s="764">
        <f t="shared" si="5"/>
        <v>0</v>
      </c>
      <c r="H46" s="764">
        <f t="shared" si="5"/>
        <v>72137.104982997698</v>
      </c>
      <c r="I46" s="764">
        <f t="shared" si="5"/>
        <v>10810.64440419162</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83156.204624422811</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269.92442533147465</v>
      </c>
      <c r="D48" s="719">
        <f ca="1">+landbouw!C12</f>
        <v>0</v>
      </c>
      <c r="E48" s="719">
        <f>+landbouw!D12</f>
        <v>1257.0962255102809</v>
      </c>
      <c r="F48" s="719">
        <f>+landbouw!E12</f>
        <v>2.9171535997070195</v>
      </c>
      <c r="G48" s="719">
        <f>+landbouw!F12</f>
        <v>939.88206472918239</v>
      </c>
      <c r="H48" s="719">
        <f>+landbouw!G12</f>
        <v>0</v>
      </c>
      <c r="I48" s="719">
        <f>+landbouw!H12</f>
        <v>0</v>
      </c>
      <c r="J48" s="719">
        <f>+landbouw!I12</f>
        <v>0</v>
      </c>
      <c r="K48" s="719">
        <f>+landbouw!J12</f>
        <v>75.298453410422979</v>
      </c>
      <c r="L48" s="719">
        <f>+landbouw!K12</f>
        <v>0</v>
      </c>
      <c r="M48" s="719">
        <f>+landbouw!L12</f>
        <v>0</v>
      </c>
      <c r="N48" s="719">
        <f>+landbouw!M12</f>
        <v>0</v>
      </c>
      <c r="O48" s="719">
        <f>+landbouw!N12</f>
        <v>0</v>
      </c>
      <c r="P48" s="719">
        <f>+landbouw!O12</f>
        <v>0</v>
      </c>
      <c r="Q48" s="720">
        <f>+landbouw!P12</f>
        <v>0</v>
      </c>
      <c r="R48" s="762">
        <f ca="1">SUM(C48:Q48)</f>
        <v>2545.1183225810678</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26104.388058967703</v>
      </c>
      <c r="D53" s="774">
        <f t="shared" ref="D53:Q53" ca="1" si="6">D41+D46+D48</f>
        <v>0</v>
      </c>
      <c r="E53" s="774">
        <f t="shared" ca="1" si="6"/>
        <v>36175.963970369769</v>
      </c>
      <c r="F53" s="774">
        <f t="shared" si="6"/>
        <v>1751.5147422345365</v>
      </c>
      <c r="G53" s="774">
        <f t="shared" ca="1" si="6"/>
        <v>7570.9626431526885</v>
      </c>
      <c r="H53" s="774">
        <f t="shared" si="6"/>
        <v>72137.104982997698</v>
      </c>
      <c r="I53" s="774">
        <f t="shared" si="6"/>
        <v>10810.64440419162</v>
      </c>
      <c r="J53" s="774">
        <f t="shared" si="6"/>
        <v>0</v>
      </c>
      <c r="K53" s="774">
        <f t="shared" si="6"/>
        <v>1228.6238349574287</v>
      </c>
      <c r="L53" s="774">
        <f t="shared" si="6"/>
        <v>0</v>
      </c>
      <c r="M53" s="774">
        <f t="shared" ca="1" si="6"/>
        <v>0</v>
      </c>
      <c r="N53" s="774">
        <f t="shared" si="6"/>
        <v>0</v>
      </c>
      <c r="O53" s="774">
        <f t="shared" ca="1" si="6"/>
        <v>0</v>
      </c>
      <c r="P53" s="774">
        <f>P41+P46+P48</f>
        <v>0</v>
      </c>
      <c r="Q53" s="775">
        <f t="shared" si="6"/>
        <v>0</v>
      </c>
      <c r="R53" s="776">
        <f ca="1">R41+R46+R48</f>
        <v>155779.20263687146</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0.19455086276831482</v>
      </c>
      <c r="D55" s="837">
        <f t="shared" ca="1" si="7"/>
        <v>0</v>
      </c>
      <c r="E55" s="837">
        <f t="shared" ca="1" si="7"/>
        <v>0.20200000000000001</v>
      </c>
      <c r="F55" s="837">
        <f t="shared" si="7"/>
        <v>0.22700000000000001</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16014.650923135003</v>
      </c>
      <c r="C66" s="796">
        <f>'lokale energieproductie'!B6</f>
        <v>16014.650923135003</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43.649999999999991</v>
      </c>
      <c r="C67" s="795">
        <f>B67*IFERROR(SUM(J67:L67)/SUM(D67:M67),0)</f>
        <v>43.649999999999991</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51.35294117647058</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16058.300923135002</v>
      </c>
      <c r="C69" s="804">
        <f>SUM(C64:C68)</f>
        <v>16058.300923135002</v>
      </c>
      <c r="D69" s="805">
        <f t="shared" ref="D69:M69" si="8">SUM(D67:D68)</f>
        <v>0</v>
      </c>
      <c r="E69" s="805">
        <f t="shared" si="8"/>
        <v>0</v>
      </c>
      <c r="F69" s="805">
        <f t="shared" si="8"/>
        <v>0</v>
      </c>
      <c r="G69" s="805">
        <f t="shared" si="8"/>
        <v>0</v>
      </c>
      <c r="H69" s="805">
        <f t="shared" si="8"/>
        <v>0</v>
      </c>
      <c r="I69" s="805">
        <f t="shared" si="8"/>
        <v>0</v>
      </c>
      <c r="J69" s="805">
        <f t="shared" si="8"/>
        <v>0</v>
      </c>
      <c r="K69" s="805">
        <f t="shared" si="8"/>
        <v>51.35294117647058</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62.357142857142847</v>
      </c>
      <c r="C78" s="818">
        <f>B78*IFERROR(SUM(I78:L78)/SUM(D78:M78),0)</f>
        <v>62.357142857142847</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73.361344537815114</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62.357142857142847</v>
      </c>
      <c r="C81" s="804">
        <f>SUM(C78:C80)</f>
        <v>62.357142857142847</v>
      </c>
      <c r="D81" s="804">
        <f t="shared" ref="D81:P81" si="9">SUM(D78:D80)</f>
        <v>0</v>
      </c>
      <c r="E81" s="804">
        <f t="shared" si="9"/>
        <v>0</v>
      </c>
      <c r="F81" s="804">
        <f t="shared" si="9"/>
        <v>0</v>
      </c>
      <c r="G81" s="804">
        <f t="shared" si="9"/>
        <v>0</v>
      </c>
      <c r="H81" s="804">
        <f t="shared" si="9"/>
        <v>0</v>
      </c>
      <c r="I81" s="804">
        <f t="shared" si="9"/>
        <v>0</v>
      </c>
      <c r="J81" s="804">
        <f t="shared" si="9"/>
        <v>0</v>
      </c>
      <c r="K81" s="804">
        <f t="shared" si="9"/>
        <v>73.361344537815114</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51527.743540047064</v>
      </c>
      <c r="C4" s="479">
        <f>huishoudens!C8</f>
        <v>0</v>
      </c>
      <c r="D4" s="479">
        <f>huishoudens!D8</f>
        <v>110537.07099383428</v>
      </c>
      <c r="E4" s="479">
        <f>huishoudens!E8</f>
        <v>4014.5974677587469</v>
      </c>
      <c r="F4" s="479">
        <f>huishoudens!F8</f>
        <v>0</v>
      </c>
      <c r="G4" s="479">
        <f>huishoudens!G8</f>
        <v>0</v>
      </c>
      <c r="H4" s="479">
        <f>huishoudens!H8</f>
        <v>0</v>
      </c>
      <c r="I4" s="479">
        <f>huishoudens!I8</f>
        <v>0</v>
      </c>
      <c r="J4" s="479">
        <f>huishoudens!J8</f>
        <v>3021.4658203246281</v>
      </c>
      <c r="K4" s="479">
        <f>huishoudens!K8</f>
        <v>0</v>
      </c>
      <c r="L4" s="479">
        <f>huishoudens!L8</f>
        <v>0</v>
      </c>
      <c r="M4" s="479">
        <f>huishoudens!M8</f>
        <v>0</v>
      </c>
      <c r="N4" s="479">
        <f>huishoudens!N8</f>
        <v>18784.945463450516</v>
      </c>
      <c r="O4" s="479">
        <f>huishoudens!O8</f>
        <v>228.2466666666667</v>
      </c>
      <c r="P4" s="480">
        <f>huishoudens!P8</f>
        <v>991.4666666666667</v>
      </c>
      <c r="Q4" s="481">
        <f>SUM(B4:P4)</f>
        <v>189105.53661874859</v>
      </c>
    </row>
    <row r="5" spans="1:17">
      <c r="A5" s="478" t="s">
        <v>156</v>
      </c>
      <c r="B5" s="479">
        <f ca="1">tertiair!B16</f>
        <v>39639.062599999997</v>
      </c>
      <c r="C5" s="479">
        <f ca="1">tertiair!C16</f>
        <v>0</v>
      </c>
      <c r="D5" s="479">
        <f ca="1">tertiair!D16</f>
        <v>36233.859986393829</v>
      </c>
      <c r="E5" s="479">
        <f>tertiair!E16</f>
        <v>334.17669827105971</v>
      </c>
      <c r="F5" s="479">
        <f ca="1">tertiair!F16</f>
        <v>5613.7441460801429</v>
      </c>
      <c r="G5" s="479">
        <f>tertiair!G16</f>
        <v>0</v>
      </c>
      <c r="H5" s="479">
        <f>tertiair!H16</f>
        <v>0</v>
      </c>
      <c r="I5" s="479">
        <f>tertiair!I16</f>
        <v>0</v>
      </c>
      <c r="J5" s="479">
        <f>tertiair!J16</f>
        <v>0</v>
      </c>
      <c r="K5" s="479">
        <f>tertiair!K16</f>
        <v>0</v>
      </c>
      <c r="L5" s="479">
        <f ca="1">tertiair!L16</f>
        <v>0</v>
      </c>
      <c r="M5" s="479">
        <f>tertiair!M16</f>
        <v>0</v>
      </c>
      <c r="N5" s="479">
        <f ca="1">tertiair!N16</f>
        <v>3403.3152966149892</v>
      </c>
      <c r="O5" s="479">
        <f>tertiair!O16</f>
        <v>4.6900000000000004</v>
      </c>
      <c r="P5" s="480">
        <f>tertiair!P16</f>
        <v>38.133333333333333</v>
      </c>
      <c r="Q5" s="478">
        <f t="shared" ref="Q5:Q13" ca="1" si="0">SUM(B5:P5)</f>
        <v>85266.982060693364</v>
      </c>
    </row>
    <row r="6" spans="1:17">
      <c r="A6" s="478" t="s">
        <v>194</v>
      </c>
      <c r="B6" s="479">
        <f>'openbare verlichting'!B8</f>
        <v>1577.663</v>
      </c>
      <c r="C6" s="479"/>
      <c r="D6" s="479"/>
      <c r="E6" s="479"/>
      <c r="F6" s="479"/>
      <c r="G6" s="479"/>
      <c r="H6" s="479"/>
      <c r="I6" s="479"/>
      <c r="J6" s="479"/>
      <c r="K6" s="479"/>
      <c r="L6" s="479"/>
      <c r="M6" s="479"/>
      <c r="N6" s="479"/>
      <c r="O6" s="479"/>
      <c r="P6" s="480"/>
      <c r="Q6" s="478">
        <f t="shared" si="0"/>
        <v>1577.663</v>
      </c>
    </row>
    <row r="7" spans="1:17">
      <c r="A7" s="478" t="s">
        <v>112</v>
      </c>
      <c r="B7" s="479">
        <f>landbouw!B8</f>
        <v>1387.4234299999998</v>
      </c>
      <c r="C7" s="479">
        <f>landbouw!C8</f>
        <v>62.357142857142847</v>
      </c>
      <c r="D7" s="479">
        <f>landbouw!D8</f>
        <v>6223.2486411400041</v>
      </c>
      <c r="E7" s="479">
        <f>landbouw!E8</f>
        <v>12.850896915008896</v>
      </c>
      <c r="F7" s="479">
        <f>landbouw!F8</f>
        <v>3520.1575458021812</v>
      </c>
      <c r="G7" s="479">
        <f>landbouw!G8</f>
        <v>0</v>
      </c>
      <c r="H7" s="479">
        <f>landbouw!H8</f>
        <v>0</v>
      </c>
      <c r="I7" s="479">
        <f>landbouw!I8</f>
        <v>0</v>
      </c>
      <c r="J7" s="479">
        <f>landbouw!J8</f>
        <v>212.70749550966943</v>
      </c>
      <c r="K7" s="479">
        <f>landbouw!K8</f>
        <v>0</v>
      </c>
      <c r="L7" s="479">
        <f>landbouw!L8</f>
        <v>0</v>
      </c>
      <c r="M7" s="479">
        <f>landbouw!M8</f>
        <v>0</v>
      </c>
      <c r="N7" s="479">
        <f>landbouw!N8</f>
        <v>0</v>
      </c>
      <c r="O7" s="479">
        <f>landbouw!O8</f>
        <v>0</v>
      </c>
      <c r="P7" s="480">
        <f>landbouw!P8</f>
        <v>0</v>
      </c>
      <c r="Q7" s="478">
        <f t="shared" si="0"/>
        <v>11418.745152224006</v>
      </c>
    </row>
    <row r="8" spans="1:17">
      <c r="A8" s="478" t="s">
        <v>650</v>
      </c>
      <c r="B8" s="479">
        <f>industrie!B18</f>
        <v>40005.383990000002</v>
      </c>
      <c r="C8" s="479">
        <f>industrie!C18</f>
        <v>0</v>
      </c>
      <c r="D8" s="479">
        <f>industrie!D18</f>
        <v>25981.31324190033</v>
      </c>
      <c r="E8" s="479">
        <f>industrie!E18</f>
        <v>2571.5867952449444</v>
      </c>
      <c r="F8" s="479">
        <f>industrie!F18</f>
        <v>19221.763638277556</v>
      </c>
      <c r="G8" s="479">
        <f>industrie!G18</f>
        <v>0</v>
      </c>
      <c r="H8" s="479">
        <f>industrie!H18</f>
        <v>0</v>
      </c>
      <c r="I8" s="479">
        <f>industrie!I18</f>
        <v>0</v>
      </c>
      <c r="J8" s="479">
        <f>industrie!J18</f>
        <v>236.51548348047302</v>
      </c>
      <c r="K8" s="479">
        <f>industrie!K18</f>
        <v>0</v>
      </c>
      <c r="L8" s="479">
        <f>industrie!L18</f>
        <v>0</v>
      </c>
      <c r="M8" s="479">
        <f>industrie!M18</f>
        <v>0</v>
      </c>
      <c r="N8" s="479">
        <f>industrie!N18</f>
        <v>9201.4551518462904</v>
      </c>
      <c r="O8" s="479">
        <f>industrie!O18</f>
        <v>0</v>
      </c>
      <c r="P8" s="480">
        <f>industrie!P18</f>
        <v>0</v>
      </c>
      <c r="Q8" s="478">
        <f t="shared" si="0"/>
        <v>97218.018300749594</v>
      </c>
    </row>
    <row r="9" spans="1:17" s="484" customFormat="1">
      <c r="A9" s="482" t="s">
        <v>571</v>
      </c>
      <c r="B9" s="483">
        <f>transport!B14</f>
        <v>40.427344842264262</v>
      </c>
      <c r="C9" s="483"/>
      <c r="D9" s="483">
        <f>transport!D14</f>
        <v>113.43768311653035</v>
      </c>
      <c r="E9" s="483">
        <f>transport!E14</f>
        <v>782.71211641172169</v>
      </c>
      <c r="F9" s="483"/>
      <c r="G9" s="483">
        <f>transport!G14</f>
        <v>267908.80811853957</v>
      </c>
      <c r="H9" s="483">
        <f>transport!H14</f>
        <v>43416.242587114939</v>
      </c>
      <c r="I9" s="483"/>
      <c r="J9" s="483"/>
      <c r="K9" s="483"/>
      <c r="L9" s="483"/>
      <c r="M9" s="483">
        <f>transport!M14</f>
        <v>16833.80650276324</v>
      </c>
      <c r="N9" s="483"/>
      <c r="O9" s="483"/>
      <c r="P9" s="483"/>
      <c r="Q9" s="482">
        <f>SUM(B9:P9)</f>
        <v>329095.43435278826</v>
      </c>
    </row>
    <row r="10" spans="1:17">
      <c r="A10" s="478" t="s">
        <v>561</v>
      </c>
      <c r="B10" s="479">
        <f>transport!B54</f>
        <v>0</v>
      </c>
      <c r="C10" s="479"/>
      <c r="D10" s="479">
        <f>transport!D54</f>
        <v>0</v>
      </c>
      <c r="E10" s="479"/>
      <c r="F10" s="479"/>
      <c r="G10" s="479">
        <f>transport!G54</f>
        <v>2267.6150387551843</v>
      </c>
      <c r="H10" s="479"/>
      <c r="I10" s="479"/>
      <c r="J10" s="479"/>
      <c r="K10" s="479"/>
      <c r="L10" s="479"/>
      <c r="M10" s="479">
        <f>transport!M54</f>
        <v>129.31547520527505</v>
      </c>
      <c r="N10" s="479"/>
      <c r="O10" s="479"/>
      <c r="P10" s="480"/>
      <c r="Q10" s="478">
        <f t="shared" si="0"/>
        <v>2396.9305139604594</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134177.70390488932</v>
      </c>
      <c r="C14" s="489">
        <f t="shared" ref="C14:Q14" ca="1" si="1">SUM(C4:C13)</f>
        <v>62.357142857142847</v>
      </c>
      <c r="D14" s="489">
        <f t="shared" ca="1" si="1"/>
        <v>179088.93054638497</v>
      </c>
      <c r="E14" s="489">
        <f t="shared" si="1"/>
        <v>7715.9239746014819</v>
      </c>
      <c r="F14" s="489">
        <f t="shared" ca="1" si="1"/>
        <v>28355.665330159878</v>
      </c>
      <c r="G14" s="489">
        <f t="shared" si="1"/>
        <v>270176.42315729475</v>
      </c>
      <c r="H14" s="489">
        <f t="shared" si="1"/>
        <v>43416.242587114939</v>
      </c>
      <c r="I14" s="489">
        <f t="shared" si="1"/>
        <v>0</v>
      </c>
      <c r="J14" s="489">
        <f t="shared" si="1"/>
        <v>3470.6887993147707</v>
      </c>
      <c r="K14" s="489">
        <f t="shared" si="1"/>
        <v>0</v>
      </c>
      <c r="L14" s="489">
        <f t="shared" ca="1" si="1"/>
        <v>0</v>
      </c>
      <c r="M14" s="489">
        <f t="shared" si="1"/>
        <v>16963.121977968516</v>
      </c>
      <c r="N14" s="489">
        <f t="shared" ca="1" si="1"/>
        <v>31389.715911911797</v>
      </c>
      <c r="O14" s="489">
        <f t="shared" si="1"/>
        <v>232.9366666666667</v>
      </c>
      <c r="P14" s="490">
        <f t="shared" si="1"/>
        <v>1029.6000000000001</v>
      </c>
      <c r="Q14" s="490">
        <f t="shared" ca="1" si="1"/>
        <v>716079.30999916431</v>
      </c>
    </row>
    <row r="16" spans="1:17">
      <c r="A16" s="492" t="s">
        <v>566</v>
      </c>
      <c r="B16" s="842">
        <f ca="1">huishoudens!B10</f>
        <v>0.19455086276831485</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10024.766962220618</v>
      </c>
      <c r="C21" s="479">
        <f t="shared" ref="C21:C28" ca="1" si="3">C4*$C$16</f>
        <v>0</v>
      </c>
      <c r="D21" s="479">
        <f t="shared" ref="D21:D30" si="4">D4*$D$16</f>
        <v>22328.488340754524</v>
      </c>
      <c r="E21" s="479">
        <f t="shared" ref="E21:E30" si="5">E4*$E$16</f>
        <v>911.31362518123558</v>
      </c>
      <c r="F21" s="479">
        <f t="shared" ref="F21:F28" si="6">F4*$F$16</f>
        <v>0</v>
      </c>
      <c r="G21" s="479">
        <f t="shared" ref="G21:G30" si="7">G4*$G$16</f>
        <v>0</v>
      </c>
      <c r="H21" s="479">
        <f t="shared" ref="H21:H30" si="8">H4*$H$16</f>
        <v>0</v>
      </c>
      <c r="I21" s="479">
        <f t="shared" ref="I21:I28" si="9">I4*$I$16</f>
        <v>0</v>
      </c>
      <c r="J21" s="479">
        <f t="shared" ref="J21:J28" si="10">J4*$J$16</f>
        <v>1069.5989003949182</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34334.167828551297</v>
      </c>
    </row>
    <row r="22" spans="1:17">
      <c r="A22" s="478" t="s">
        <v>156</v>
      </c>
      <c r="B22" s="479">
        <f t="shared" ca="1" si="2"/>
        <v>7711.813828157241</v>
      </c>
      <c r="C22" s="479">
        <f t="shared" ca="1" si="3"/>
        <v>0</v>
      </c>
      <c r="D22" s="479">
        <f t="shared" ca="1" si="4"/>
        <v>7319.2397172515539</v>
      </c>
      <c r="E22" s="479">
        <f t="shared" si="5"/>
        <v>75.858110507530554</v>
      </c>
      <c r="F22" s="479">
        <f t="shared" ca="1" si="6"/>
        <v>1498.8696870033982</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16605.781342919723</v>
      </c>
    </row>
    <row r="23" spans="1:17">
      <c r="A23" s="478" t="s">
        <v>194</v>
      </c>
      <c r="B23" s="479">
        <f t="shared" ca="1" si="2"/>
        <v>306.9356978076479</v>
      </c>
      <c r="C23" s="479"/>
      <c r="D23" s="479"/>
      <c r="E23" s="479"/>
      <c r="F23" s="479"/>
      <c r="G23" s="479"/>
      <c r="H23" s="479"/>
      <c r="I23" s="479"/>
      <c r="J23" s="479"/>
      <c r="K23" s="479"/>
      <c r="L23" s="479"/>
      <c r="M23" s="479"/>
      <c r="N23" s="479"/>
      <c r="O23" s="479"/>
      <c r="P23" s="480"/>
      <c r="Q23" s="478">
        <f t="shared" ca="1" si="17"/>
        <v>306.9356978076479</v>
      </c>
    </row>
    <row r="24" spans="1:17">
      <c r="A24" s="478" t="s">
        <v>112</v>
      </c>
      <c r="B24" s="479">
        <f t="shared" ca="1" si="2"/>
        <v>269.92442533147465</v>
      </c>
      <c r="C24" s="479">
        <f t="shared" ca="1" si="3"/>
        <v>0</v>
      </c>
      <c r="D24" s="479">
        <f t="shared" si="4"/>
        <v>1257.0962255102809</v>
      </c>
      <c r="E24" s="479">
        <f t="shared" si="5"/>
        <v>2.9171535997070195</v>
      </c>
      <c r="F24" s="479">
        <f t="shared" si="6"/>
        <v>939.88206472918239</v>
      </c>
      <c r="G24" s="479">
        <f t="shared" si="7"/>
        <v>0</v>
      </c>
      <c r="H24" s="479">
        <f t="shared" si="8"/>
        <v>0</v>
      </c>
      <c r="I24" s="479">
        <f t="shared" si="9"/>
        <v>0</v>
      </c>
      <c r="J24" s="479">
        <f t="shared" si="10"/>
        <v>75.298453410422979</v>
      </c>
      <c r="K24" s="479">
        <f t="shared" si="11"/>
        <v>0</v>
      </c>
      <c r="L24" s="479">
        <f t="shared" si="12"/>
        <v>0</v>
      </c>
      <c r="M24" s="479">
        <f t="shared" si="13"/>
        <v>0</v>
      </c>
      <c r="N24" s="479">
        <f t="shared" si="14"/>
        <v>0</v>
      </c>
      <c r="O24" s="479">
        <f t="shared" si="15"/>
        <v>0</v>
      </c>
      <c r="P24" s="480">
        <f t="shared" si="16"/>
        <v>0</v>
      </c>
      <c r="Q24" s="478">
        <f t="shared" ca="1" si="17"/>
        <v>2545.1183225810678</v>
      </c>
    </row>
    <row r="25" spans="1:17">
      <c r="A25" s="478" t="s">
        <v>650</v>
      </c>
      <c r="B25" s="479">
        <f t="shared" ca="1" si="2"/>
        <v>7783.08197063223</v>
      </c>
      <c r="C25" s="479">
        <f t="shared" ca="1" si="3"/>
        <v>0</v>
      </c>
      <c r="D25" s="479">
        <f t="shared" si="4"/>
        <v>5248.2252748638675</v>
      </c>
      <c r="E25" s="479">
        <f t="shared" si="5"/>
        <v>583.75020252060244</v>
      </c>
      <c r="F25" s="479">
        <f t="shared" si="6"/>
        <v>5132.2108914201081</v>
      </c>
      <c r="G25" s="479">
        <f t="shared" si="7"/>
        <v>0</v>
      </c>
      <c r="H25" s="479">
        <f t="shared" si="8"/>
        <v>0</v>
      </c>
      <c r="I25" s="479">
        <f t="shared" si="9"/>
        <v>0</v>
      </c>
      <c r="J25" s="479">
        <f t="shared" si="10"/>
        <v>83.726481152087445</v>
      </c>
      <c r="K25" s="479">
        <f t="shared" si="11"/>
        <v>0</v>
      </c>
      <c r="L25" s="479">
        <f t="shared" si="12"/>
        <v>0</v>
      </c>
      <c r="M25" s="479">
        <f t="shared" si="13"/>
        <v>0</v>
      </c>
      <c r="N25" s="479">
        <f t="shared" si="14"/>
        <v>0</v>
      </c>
      <c r="O25" s="479">
        <f t="shared" si="15"/>
        <v>0</v>
      </c>
      <c r="P25" s="480">
        <f t="shared" si="16"/>
        <v>0</v>
      </c>
      <c r="Q25" s="478">
        <f t="shared" ca="1" si="17"/>
        <v>18830.994820588894</v>
      </c>
    </row>
    <row r="26" spans="1:17" s="484" customFormat="1">
      <c r="A26" s="482" t="s">
        <v>571</v>
      </c>
      <c r="B26" s="836">
        <f t="shared" ca="1" si="2"/>
        <v>7.8651748184946957</v>
      </c>
      <c r="C26" s="483"/>
      <c r="D26" s="483">
        <f t="shared" si="4"/>
        <v>22.914411989539133</v>
      </c>
      <c r="E26" s="483">
        <f t="shared" si="5"/>
        <v>177.67565042546084</v>
      </c>
      <c r="F26" s="483"/>
      <c r="G26" s="483">
        <f t="shared" si="7"/>
        <v>71531.651767650066</v>
      </c>
      <c r="H26" s="483">
        <f t="shared" si="8"/>
        <v>10810.64440419162</v>
      </c>
      <c r="I26" s="483"/>
      <c r="J26" s="483"/>
      <c r="K26" s="483"/>
      <c r="L26" s="483"/>
      <c r="M26" s="483">
        <f t="shared" si="13"/>
        <v>0</v>
      </c>
      <c r="N26" s="483"/>
      <c r="O26" s="483"/>
      <c r="P26" s="494"/>
      <c r="Q26" s="482">
        <f t="shared" ca="1" si="17"/>
        <v>82550.751409075179</v>
      </c>
    </row>
    <row r="27" spans="1:17">
      <c r="A27" s="478" t="s">
        <v>561</v>
      </c>
      <c r="B27" s="479">
        <f t="shared" ca="1" si="2"/>
        <v>0</v>
      </c>
      <c r="C27" s="479"/>
      <c r="D27" s="483">
        <f t="shared" si="4"/>
        <v>0</v>
      </c>
      <c r="E27" s="479"/>
      <c r="F27" s="479"/>
      <c r="G27" s="479">
        <f t="shared" si="7"/>
        <v>605.45321534763423</v>
      </c>
      <c r="H27" s="479"/>
      <c r="I27" s="479"/>
      <c r="J27" s="479"/>
      <c r="K27" s="479"/>
      <c r="L27" s="479"/>
      <c r="M27" s="479">
        <f t="shared" si="13"/>
        <v>0</v>
      </c>
      <c r="N27" s="479"/>
      <c r="O27" s="479"/>
      <c r="P27" s="480"/>
      <c r="Q27" s="478">
        <f t="shared" ca="1" si="17"/>
        <v>605.45321534763423</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26104.388058967703</v>
      </c>
      <c r="C31" s="489">
        <f t="shared" ca="1" si="18"/>
        <v>0</v>
      </c>
      <c r="D31" s="489">
        <f t="shared" ca="1" si="18"/>
        <v>36175.963970369769</v>
      </c>
      <c r="E31" s="489">
        <f t="shared" si="18"/>
        <v>1751.5147422345365</v>
      </c>
      <c r="F31" s="489">
        <f t="shared" ca="1" si="18"/>
        <v>7570.9626431526885</v>
      </c>
      <c r="G31" s="489">
        <f t="shared" si="18"/>
        <v>72137.104982997698</v>
      </c>
      <c r="H31" s="489">
        <f t="shared" si="18"/>
        <v>10810.64440419162</v>
      </c>
      <c r="I31" s="489">
        <f t="shared" si="18"/>
        <v>0</v>
      </c>
      <c r="J31" s="489">
        <f t="shared" si="18"/>
        <v>1228.6238349574287</v>
      </c>
      <c r="K31" s="489">
        <f t="shared" si="18"/>
        <v>0</v>
      </c>
      <c r="L31" s="489">
        <f t="shared" ca="1" si="18"/>
        <v>0</v>
      </c>
      <c r="M31" s="489">
        <f t="shared" si="18"/>
        <v>0</v>
      </c>
      <c r="N31" s="489">
        <f t="shared" ca="1" si="18"/>
        <v>0</v>
      </c>
      <c r="O31" s="489">
        <f t="shared" si="18"/>
        <v>0</v>
      </c>
      <c r="P31" s="490">
        <f t="shared" si="18"/>
        <v>0</v>
      </c>
      <c r="Q31" s="490">
        <f t="shared" ca="1" si="18"/>
        <v>155779.20263687146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0.19455086276831485</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0.19455086276831485</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0.19455086276831485</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2019-01-01T21:34:09Z</dcterms:modified>
</cp:coreProperties>
</file>