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J67" i="14"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22" i="16"/>
  <c r="G39" i="14" s="1"/>
  <c r="G41" s="1"/>
  <c r="F8" i="48"/>
  <c r="Q4"/>
  <c r="N22"/>
  <c r="R11" i="14"/>
  <c r="J21" i="48"/>
  <c r="C17" i="19" l="1"/>
  <c r="C19" s="1"/>
  <c r="D35" i="14" s="1"/>
  <c r="C20" i="16"/>
  <c r="C22" s="1"/>
  <c r="D39" i="14" s="1"/>
  <c r="C18" i="15"/>
  <c r="C20" s="1"/>
  <c r="D36" i="14" s="1"/>
  <c r="C29" i="20"/>
  <c r="C10" i="13"/>
  <c r="C16" i="48" s="1"/>
  <c r="C16" i="22"/>
  <c r="C17" i="49"/>
  <c r="C10" i="17"/>
  <c r="C12" s="1"/>
  <c r="D48" i="14" s="1"/>
  <c r="C56" i="22"/>
  <c r="C58" s="1"/>
  <c r="D44" i="14" s="1"/>
  <c r="D46" s="1"/>
  <c r="N55"/>
  <c r="O13"/>
  <c r="O15" s="1"/>
  <c r="F13"/>
  <c r="F15" s="1"/>
  <c r="F23" s="1"/>
  <c r="K13"/>
  <c r="E8" i="48"/>
  <c r="E25" s="1"/>
  <c r="E31" s="1"/>
  <c r="N22" i="16"/>
  <c r="O39" i="14" s="1"/>
  <c r="O41" s="1"/>
  <c r="N25" i="48"/>
  <c r="N14"/>
  <c r="N31"/>
  <c r="K41" i="14"/>
  <c r="K53" s="1"/>
  <c r="K55" s="1"/>
  <c r="K15"/>
  <c r="K23" s="1"/>
  <c r="H55"/>
  <c r="E55"/>
  <c r="C78"/>
  <c r="C81" s="1"/>
  <c r="J14" i="48"/>
  <c r="J31"/>
  <c r="Q8"/>
  <c r="Q14" s="1"/>
  <c r="R19" i="14"/>
  <c r="R20" s="1"/>
  <c r="H14" i="48"/>
  <c r="G31"/>
  <c r="H26"/>
  <c r="H31" s="1"/>
  <c r="F55" i="14"/>
  <c r="O53"/>
  <c r="G53"/>
  <c r="G55" s="1"/>
  <c r="O69" s="1"/>
  <c r="B9" i="6" s="1"/>
  <c r="B12" s="1"/>
  <c r="M53" i="14"/>
  <c r="M55" s="1"/>
  <c r="C12" i="13"/>
  <c r="D37" i="14" s="1"/>
  <c r="C24" i="48"/>
  <c r="C28"/>
  <c r="C22"/>
  <c r="C25"/>
  <c r="C21"/>
  <c r="R13" i="14"/>
  <c r="R15" s="1"/>
  <c r="F25" i="48"/>
  <c r="F31" s="1"/>
  <c r="F14"/>
  <c r="D41" i="14" l="1"/>
  <c r="D53" s="1"/>
  <c r="D55" s="1"/>
  <c r="E14"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<sst xmlns="http://schemas.openxmlformats.org/spreadsheetml/2006/main" count="2164" uniqueCount="883">
  <si>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</si>
  <si>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</si>
  <si>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</si>
  <si>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</si>
  <si>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</si>
  <si>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</si>
  <si>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</si>
  <si>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</si>
  <si>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</si>
  <si>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</si>
  <si>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</si>
  <si>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</si>
  <si>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</si>
  <si>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</si>
  <si>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</si>
  <si>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</si>
  <si>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</si>
  <si>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</si>
  <si>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</si>
  <si>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</si>
  <si>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</si>
  <si>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</si>
  <si>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</si>
  <si>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</si>
  <si>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</si>
  <si>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</si>
  <si>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</si>
  <si>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</si>
  <si>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</si>
  <si>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</si>
  <si>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</si>
  <si>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</si>
  <si>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</si>
  <si>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</si>
  <si>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</si>
  <si>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</si>
  <si>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</si>
  <si>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</si>
  <si>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</si>
  <si>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</si>
  <si>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</si>
  <si>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</si>
  <si>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</si>
  <si>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</si>
  <si>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</si>
  <si>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</si>
  <si>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</si>
  <si>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</si>
  <si>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</si>
  <si>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</si>
  <si>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</si>
  <si>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</si>
  <si>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</si>
  <si>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</si>
  <si>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</si>
  <si>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</si>
  <si>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</si>
  <si>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</si>
  <si>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</si>
  <si>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</si>
  <si>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</si>
  <si>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</si>
  <si>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</si>
  <si>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</si>
  <si>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</si>
  <si>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</si>
  <si>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</si>
  <si>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</si>
  <si>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</si>
  <si>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</si>
  <si>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</si>
  <si>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</si>
  <si>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</si>
  <si>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</si>
  <si>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</si>
  <si>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</si>
  <si>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</si>
  <si>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</si>
  <si>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</si>
  <si>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</si>
  <si>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</si>
  <si>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</si>
  <si>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</si>
  <si>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</si>
  <si>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</si>
  <si>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</si>
  <si>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</si>
  <si>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</si>
  <si>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</si>
  <si>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</si>
  <si>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</si>
  <si>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</si>
  <si>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</si>
  <si>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</si>
  <si>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</si>
  <si>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</si>
  <si>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</si>
  <si>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</si>
  <si>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</si>
  <si>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</si>
  <si>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</si>
  <si>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</si>
  <si>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</si>
  <si>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</si>
  <si>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</si>
  <si>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</si>
  <si>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</si>
  <si>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</si>
  <si>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</si>
  <si>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</si>
  <si>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</si>
  <si>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</si>
  <si>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</si>
  <si>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</si>
  <si>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</si>
  <si>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</si>
  <si>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</si>
  <si>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</si>
  <si>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</si>
  <si>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</si>
  <si>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</si>
  <si>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</si>
  <si>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</si>
  <si>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</si>
  <si>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</si>
  <si>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</si>
  <si>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</si>
  <si>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</si>
  <si>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</si>
  <si>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</si>
  <si>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</si>
  <si>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</si>
  <si>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</si>
  <si>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</si>
  <si>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</si>
  <si>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</si>
  <si>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</si>
  <si>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</si>
  <si>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</si>
  <si>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</si>
  <si>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</si>
  <si>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</si>
  <si>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</si>
  <si>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</si>
  <si>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</si>
  <si>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</si>
  <si>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</si>
  <si>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</si>
  <si>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</si>
  <si>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</si>
  <si>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</si>
  <si>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</si>
  <si>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</si>
  <si>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</si>
  <si>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</si>
  <si>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</si>
  <si>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</si>
  <si>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</si>
  <si>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</si>
  <si>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</si>
  <si>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</si>
  <si>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</si>
  <si>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</si>
  <si>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</si>
  <si>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</si>
  <si>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</si>
  <si>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</si>
  <si>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</si>
  <si>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</si>
  <si>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</si>
  <si>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</si>
  <si>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</si>
  <si>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</si>
  <si>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</si>
  <si>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</si>
  <si>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</si>
  <si>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</si>
  <si>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</si>
  <si>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</si>
  <si>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</si>
  <si>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</si>
  <si>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</si>
  <si>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</si>
  <si>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</si>
  <si>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</si>
  <si>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</si>
  <si>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</si>
  <si>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</si>
  <si>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</si>
  <si>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</si>
  <si>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</si>
  <si>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</si>
  <si>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</si>
  <si>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</si>
  <si>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</si>
  <si>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</si>
  <si>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</si>
  <si>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</si>
  <si>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</si>
  <si>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</si>
  <si>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</si>
  <si>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</si>
  <si>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</si>
  <si>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</si>
  <si>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</si>
  <si>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</si>
  <si>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</si>
  <si>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</si>
  <si>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</si>
  <si>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</si>
  <si>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</si>
  <si>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</si>
  <si>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</si>
  <si>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</si>
  <si>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</si>
  <si>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</si>
  <si>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</si>
  <si>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</si>
  <si>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</si>
  <si>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</si>
  <si>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</si>
  <si>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</si>
  <si>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</si>
  <si>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</si>
  <si>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</si>
  <si>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</si>
  <si>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</si>
  <si>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</si>
  <si>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</si>
  <si>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</si>
  <si>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</si>
  <si>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</si>
  <si>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</si>
  <si>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</si>
  <si>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</si>
  <si>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</si>
  <si>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</si>
  <si>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</si>
  <si>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</si>
  <si>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</si>
  <si>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</si>
  <si>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</si>
  <si>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</si>
  <si>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</si>
  <si>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</si>
  <si>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</si>
  <si>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</si>
  <si>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</si>
  <si>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</si>
  <si>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</si>
  <si>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</si>
  <si>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</si>
  <si>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</si>
  <si>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</si>
  <si>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</si>
  <si>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</si>
  <si>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</si>
  <si>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</si>
  <si>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</si>
  <si>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</si>
  <si>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</si>
  <si>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</si>
  <si>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</si>
  <si>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</si>
  <si>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</si>
  <si>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</si>
  <si>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</si>
  <si>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</si>
  <si>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</si>
  <si>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</si>
  <si>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</si>
  <si>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</si>
  <si>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</si>
  <si>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</si>
  <si>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</si>
  <si>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</si>
  <si>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</si>
  <si>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</si>
  <si>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</si>
  <si>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</si>
  <si>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</si>
  <si>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</si>
  <si>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</si>
  <si>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</si>
  <si>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</si>
  <si>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</si>
  <si>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</si>
  <si>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</si>
  <si>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</si>
  <si>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</si>
  <si>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</si>
  <si>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</si>
  <si>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</si>
  <si>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</si>
  <si>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</si>
  <si>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</si>
  <si>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</si>
  <si>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</si>
  <si>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</si>
  <si>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</si>
  <si>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</si>
  <si>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</si>
  <si>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</si>
  <si>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</si>
  <si>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</si>
  <si>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</si>
  <si>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</si>
  <si>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</si>
  <si>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</si>
  <si>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</si>
  <si>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</si>
  <si>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</si>
  <si>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</si>
  <si>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</si>
  <si>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</si>
  <si>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</si>
  <si>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</si>
  <si>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</si>
  <si>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</si>
  <si>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</si>
  <si>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</si>
  <si>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</si>
  <si>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</si>
  <si>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</si>
  <si>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</si>
  <si>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</si>
  <si>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</si>
  <si>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</si>
  <si>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</si>
  <si>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</si>
  <si>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</si>
  <si>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</si>
  <si>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</si>
  <si>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</si>
  <si>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</si>
  <si>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</si>
  <si>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</si>
  <si>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</si>
  <si>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</si>
  <si>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</si>
  <si>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</si>
  <si>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</si>
  <si>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</si>
  <si>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</si>
  <si>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</si>
  <si>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</si>
  <si>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</si>
  <si>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</si>
  <si>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</si>
  <si>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</si>
  <si>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</si>
  <si>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</si>
  <si>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</si>
  <si>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</si>
  <si>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</si>
  <si>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</si>
  <si>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</si>
  <si>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</si>
  <si>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</si>
  <si>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</si>
  <si>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</si>
  <si>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</si>
  <si>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</si>
  <si>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</si>
  <si>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</si>
  <si>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</si>
  <si>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</si>
  <si>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</si>
  <si>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</si>
  <si>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</si>
  <si>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</si>
  <si>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</si>
  <si>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</si>
  <si>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</si>
  <si>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</si>
  <si>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</si>
  <si>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</si>
  <si>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</si>
  <si>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</si>
  <si>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</si>
  <si>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</si>
  <si>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</si>
  <si>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</si>
  <si>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</si>
  <si>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</si>
  <si>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</si>
  <si>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</si>
  <si>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</si>
  <si>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</si>
  <si>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</si>
  <si>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</si>
  <si>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</si>
  <si>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</si>
  <si>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</si>
  <si>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</si>
  <si>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</si>
  <si>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</si>
  <si>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</si>
  <si>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</si>
  <si>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</si>
  <si>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</si>
  <si>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</si>
  <si>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</si>
  <si>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</si>
  <si>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</si>
  <si>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</si>
  <si>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</si>
  <si>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</si>
  <si>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</si>
  <si>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</si>
  <si>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</si>
  <si>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</si>
  <si>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</si>
  <si>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</si>
  <si>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</si>
  <si>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</si>
  <si>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</si>
  <si>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</si>
  <si>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</si>
  <si>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</si>
  <si>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</si>
  <si>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</si>
  <si>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</si>
  <si>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</si>
  <si>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</si>
  <si>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</si>
  <si>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</si>
  <si>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</si>
  <si>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</si>
  <si>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</si>
  <si>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</si>
  <si>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</si>
  <si>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</si>
  <si>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</si>
  <si>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</si>
  <si>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</si>
  <si>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</si>
  <si>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</si>
  <si>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</si>
  <si>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</si>
  <si>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</si>
  <si>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</si>
  <si>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</si>
  <si>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</si>
  <si>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</si>
  <si>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</si>
  <si>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</si>
  <si>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</si>
  <si>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</si>
  <si>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</si>
  <si>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</si>
  <si>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</si>
  <si>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</si>
  <si>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</si>
  <si>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</si>
  <si>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</si>
  <si>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</si>
  <si>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</si>
  <si>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</si>
  <si>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</si>
  <si>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</si>
  <si>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</si>
  <si>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</si>
  <si>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</si>
  <si>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</si>
  <si>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</si>
  <si>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</si>
  <si>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</si>
  <si>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</si>
  <si>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</si>
  <si>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</si>
  <si>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</si>
  <si>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</si>
  <si>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</si>
  <si>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</si>
  <si>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</si>
  <si>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</si>
  <si>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</si>
  <si>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</si>
  <si>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</si>
  <si>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</si>
  <si>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</si>
  <si>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</si>
  <si>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</si>
  <si>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</si>
  <si>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</si>
  <si>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</si>
  <si>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</si>
  <si>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</si>
  <si>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</si>
  <si>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</si>
  <si>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</si>
  <si>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</si>
  <si>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</si>
  <si>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</si>
  <si>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</si>
  <si>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</si>
  <si>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</si>
  <si>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</si>
  <si>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</si>
  <si>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</si>
  <si>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</si>
  <si>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</si>
  <si>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</si>
  <si>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</si>
  <si>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</si>
  <si>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</si>
  <si>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</si>
  <si>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</si>
  <si>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</si>
  <si>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</si>
  <si>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</si>
  <si>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</si>
  <si>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</si>
  <si>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</si>
  <si>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</si>
  <si>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</si>
  <si>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</si>
  <si>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</si>
  <si>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</si>
  <si>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</si>
  <si>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</si>
  <si>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</si>
  <si>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</si>
  <si>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</si>
  <si>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</si>
  <si>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</si>
  <si>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</si>
  <si>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</si>
  <si>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</si>
  <si>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</si>
  <si>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</si>
  <si>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</si>
  <si>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</si>
  <si>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</si>
  <si>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</si>
  <si>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</si>
  <si>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</si>
  <si>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</si>
  <si>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</si>
  <si>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</si>
  <si>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</si>
  <si>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</si>
  <si>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</si>
  <si>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</si>
  <si>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</si>
  <si>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</si>
  <si>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</si>
  <si>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</si>
  <si>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</si>
  <si>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</si>
  <si>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</si>
  <si>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</si>
  <si>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</si>
  <si>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</si>
  <si>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</si>
  <si>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</si>
  <si>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</si>
  <si>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</si>
  <si>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</si>
  <si>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</si>
  <si>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</si>
  <si>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</si>
  <si>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</si>
  <si>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</si>
  <si>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</si>
  <si>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</si>
  <si>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</si>
  <si>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</si>
  <si>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</si>
  <si>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</si>
  <si>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</si>
  <si>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</si>
  <si>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</si>
  <si>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</si>
  <si>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</si>
  <si>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</si>
  <si>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</si>
  <si>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</si>
  <si>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</si>
  <si>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</si>
  <si>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</si>
  <si>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</si>
  <si>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</si>
  <si>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</si>
  <si>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</si>
  <si>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</si>
  <si>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</si>
  <si>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</si>
  <si>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</si>
  <si>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</si>
  <si>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</si>
  <si>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</si>
  <si>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</si>
  <si>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</si>
  <si>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</si>
  <si>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</si>
  <si>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</si>
  <si>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</si>
  <si>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</si>
  <si>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</si>
  <si>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</si>
  <si>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</si>
  <si>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</si>
  <si>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</si>
  <si>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</si>
  <si>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</si>
  <si>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</si>
  <si>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</si>
  <si>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</si>
  <si>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</si>
  <si>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</si>
  <si>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</si>
  <si>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</si>
  <si>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</si>
  <si>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</si>
  <si>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</si>
  <si>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</si>
  <si>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</si>
  <si>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</si>
  <si>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</si>
  <si>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</si>
  <si>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</si>
  <si>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</si>
  <si>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</si>
  <si>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</si>
  <si>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</si>
  <si>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</si>
  <si>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</si>
  <si>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</si>
  <si>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</si>
  <si>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</si>
  <si>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</si>
  <si>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</si>
  <si>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</si>
  <si>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</si>
  <si>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</si>
  <si>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</si>
  <si>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</si>
  <si>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</si>
  <si>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</si>
  <si>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</si>
  <si>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</si>
  <si>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</si>
  <si>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</si>
  <si>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</si>
  <si>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</si>
  <si>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</si>
  <si>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</si>
  <si>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</si>
  <si>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</si>
  <si>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</si>
  <si>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</si>
  <si>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</si>
  <si>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</si>
  <si>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</si>
  <si>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</si>
  <si>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</si>
  <si>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</si>
  <si>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</si>
  <si>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</si>
  <si>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</si>
  <si>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</si>
  <si>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</si>
  <si>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</si>
  <si>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</si>
  <si>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</si>
  <si>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</si>
  <si>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</si>
  <si>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</si>
  <si>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</si>
  <si>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</si>
  <si>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</si>
  <si>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</si>
  <si>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</si>
  <si>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</si>
  <si>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</si>
  <si>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</si>
  <si>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</si>
  <si>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</si>
  <si>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</si>
  <si>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</si>
  <si>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</si>
  <si>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</si>
  <si>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</si>
  <si>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</si>
  <si>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</si>
  <si>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</si>
  <si>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</si>
  <si>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</si>
  <si>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</si>
  <si>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</si>
  <si>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</si>
  <si>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</si>
  <si>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</si>
  <si>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</si>
  <si>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</si>
  <si>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</si>
  <si>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</si>
  <si>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</si>
  <si>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</si>
  <si>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</si>
  <si>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</si>
  <si>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</si>
  <si>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</si>
  <si>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</si>
  <si>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</si>
  <si>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</si>
  <si>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</si>
  <si>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</si>
  <si>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</si>
  <si>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</si>
  <si>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</si>
  <si>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</si>
  <si>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</si>
  <si>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</si>
  <si>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</si>
  <si>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</si>
  <si>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</si>
  <si>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</si>
  <si>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</si>
  <si>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</si>
  <si>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</si>
  <si>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</si>
  <si>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</si>
  <si>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</si>
  <si>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</si>
  <si>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</si>
  <si>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</si>
  <si>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</si>
  <si>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</si>
  <si>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</si>
  <si>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</si>
  <si>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</si>
  <si>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</si>
  <si>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</si>
  <si>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</si>
  <si>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</si>
  <si>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</si>
  <si>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</si>
  <si>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</si>
  <si>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</si>
  <si>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</si>
  <si>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</si>
  <si>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</si>
  <si>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</si>
  <si>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</si>
  <si>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</si>
  <si>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</si>
  <si>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</si>
  <si>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</si>
  <si>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</si>
  <si>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</si>
  <si>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</si>
  <si>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</si>
  <si>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</si>
  <si>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</si>
  <si>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</si>
  <si>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</si>
  <si>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</si>
  <si>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</si>
  <si>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</si>
  <si>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</si>
  <si>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</si>
  <si>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</si>
  <si>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</si>
  <si>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</si>
  <si>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</si>
  <si>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</si>
  <si>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</si>
  <si>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</si>
  <si>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</si>
  <si>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</si>
  <si>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</si>
  <si>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</si>
  <si>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</si>
  <si>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</si>
  <si>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</si>
  <si>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</si>
  <si>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</si>
  <si>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</si>
  <si>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</si>
  <si>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</si>
  <si>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</si>
  <si>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</si>
  <si>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</si>
  <si>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</si>
  <si>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</si>
  <si>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</si>
  <si>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</si>
  <si>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</si>
  <si>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</si>
  <si>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</si>
  <si>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</si>
  <si>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</si>
  <si>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</si>
  <si>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</si>
  <si>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</si>
  <si>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</si>
  <si>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</si>
  <si>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</si>
  <si>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</si>
  <si>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</si>
  <si>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</si>
  <si>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</si>
  <si>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</si>
  <si>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</si>
  <si>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</si>
  <si>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</si>
  <si>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</si>
  <si>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</si>
  <si>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</si>
  <si>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</si>
  <si>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</si>
  <si>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</si>
  <si>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</si>
  <si>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</si>
  <si>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</si>
  <si>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</si>
  <si>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</si>
  <si>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</si>
  <si>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</si>
  <si>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</si>
  <si>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</si>
  <si>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</si>
  <si>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</si>
  <si>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</si>
  <si>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</si>
  <si>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</si>
  <si>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</si>
  <si>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</si>
  <si>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</si>
  <si>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</si>
  <si>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</si>
  <si>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</si>
  <si>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</si>
  <si>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</si>
  <si>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</si>
  <si>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</si>
  <si>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</si>
  <si>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</si>
  <si>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</si>
  <si>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</si>
  <si>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</si>
  <si>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</si>
  <si>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</si>
  <si>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</si>
  <si>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</si>
  <si>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</si>
  <si>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</si>
  <si>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</si>
  <si>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</si>
  <si>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</si>
  <si>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</si>
  <si>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</si>
  <si>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</si>
  <si>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</si>
  <si>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</si>
  <si>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</si>
  <si>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</si>
  <si>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</si>
  <si>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</si>
  <si>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</si>
  <si>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46021</t>
  </si>
  <si>
    <t>SINT-NIKLAAS</t>
  </si>
  <si>
    <t>Paarden&amp;pony's 200 - 600 kg</t>
  </si>
  <si>
    <t>Paarden&amp;pony's &lt; 200 kg</t>
  </si>
  <si>
    <t>referentietaak LNE (2017); Jaarverslag De Lijn (2014)</t>
  </si>
  <si>
    <t>op basis van VEA (maart 2018) en Inventaris Hernieuwbare Energiebronnen (juni 2018)</t>
  </si>
  <si>
    <t>VEA (maart 2016)</t>
  </si>
  <si>
    <t>VEA (juni 2018)</t>
  </si>
  <si>
    <t>Acomus bvba</t>
  </si>
  <si>
    <t>Entrepotstraat 16 , 9100 Sint-Niklaas</t>
  </si>
  <si>
    <t>WKK-0353 Acomus</t>
  </si>
  <si>
    <t>interne verbrandingsmotor</t>
  </si>
  <si>
    <t>WKK interne verbrandinsgmotor (gas)</t>
  </si>
  <si>
    <t>INTERGEM</t>
  </si>
  <si>
    <t>MNtechnics bvba</t>
  </si>
  <si>
    <t>Anthonis De Jonghestraat 96 , 9100 Nieuwkerken-Waas</t>
  </si>
  <si>
    <t>WKK-0361 ALTech</t>
  </si>
  <si>
    <t>Vleeswarenfabriek De Cock NV</t>
  </si>
  <si>
    <t>Industriepark-Noord 14 , 9100 Sint-Niklaas</t>
  </si>
  <si>
    <t>WKK-0473 Vleeswarenfabriek De Cock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</si>
</sst>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463492.6209114099</c:v>
                </c:pt>
                <c:pt idx="1">
                  <c:v>296151.54731608683</c:v>
                </c:pt>
                <c:pt idx="2">
                  <c:v>3592.1190000000001</c:v>
                </c:pt>
                <c:pt idx="3">
                  <c:v>28804.247096912834</c:v>
                </c:pt>
                <c:pt idx="4">
                  <c:v>193229.10782996553</c:v>
                </c:pt>
                <c:pt idx="5">
                  <c:v>511426.47199351463</c:v>
                </c:pt>
                <c:pt idx="6">
                  <c:v>10196.352123567478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269577600"/>
        <c:axId val="165741696"/>
      </c:barChart>
      <c:catAx>
        <c:axId val="269577600"/>
        <c:scaling>
          <c:orientation val="minMax"/>
        </c:scaling>
        <c:axPos val="b"/>
        <c:numFmt formatCode="General" sourceLinked="0"/>
        <c:tickLblPos val="nextTo"/>
        <c:crossAx val="165741696"/>
        <c:crosses val="autoZero"/>
        <c:auto val="1"/>
        <c:lblAlgn val="ctr"/>
        <c:lblOffset val="100"/>
      </c:catAx>
      <c:valAx>
        <c:axId val="165741696"/>
        <c:scaling>
          <c:orientation val="minMax"/>
        </c:scaling>
        <c:axPos val="l"/>
        <c:majorGridlines/>
        <c:numFmt formatCode="#,##0" sourceLinked="1"/>
        <c:tickLblPos val="nextTo"/>
        <c:crossAx val="2695776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463492.6209114099</c:v>
                </c:pt>
                <c:pt idx="1">
                  <c:v>296151.54731608683</c:v>
                </c:pt>
                <c:pt idx="2">
                  <c:v>3592.1190000000001</c:v>
                </c:pt>
                <c:pt idx="3">
                  <c:v>28804.247096912834</c:v>
                </c:pt>
                <c:pt idx="4">
                  <c:v>193229.10782996553</c:v>
                </c:pt>
                <c:pt idx="5">
                  <c:v>511426.47199351463</c:v>
                </c:pt>
                <c:pt idx="6">
                  <c:v>10196.352123567478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85998.415445938808</c:v>
                </c:pt>
                <c:pt idx="1">
                  <c:v>59464.289832198301</c:v>
                </c:pt>
                <c:pt idx="2">
                  <c:v>739.98857723165611</c:v>
                </c:pt>
                <c:pt idx="3">
                  <c:v>6593.1607082226101</c:v>
                </c:pt>
                <c:pt idx="4">
                  <c:v>38867.860462588797</c:v>
                </c:pt>
                <c:pt idx="5">
                  <c:v>128232.44936534829</c:v>
                </c:pt>
                <c:pt idx="6">
                  <c:v>2575.549913556003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321088"/>
        <c:axId val="180162560"/>
      </c:barChart>
      <c:catAx>
        <c:axId val="179321088"/>
        <c:scaling>
          <c:orientation val="minMax"/>
        </c:scaling>
        <c:axPos val="b"/>
        <c:numFmt formatCode="General" sourceLinked="0"/>
        <c:tickLblPos val="nextTo"/>
        <c:crossAx val="180162560"/>
        <c:crosses val="autoZero"/>
        <c:auto val="1"/>
        <c:lblAlgn val="ctr"/>
        <c:lblOffset val="100"/>
      </c:catAx>
      <c:valAx>
        <c:axId val="180162560"/>
        <c:scaling>
          <c:orientation val="minMax"/>
        </c:scaling>
        <c:axPos val="l"/>
        <c:majorGridlines/>
        <c:numFmt formatCode="#,##0" sourceLinked="1"/>
        <c:tickLblPos val="nextTo"/>
        <c:crossAx val="179321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85998.415445938808</c:v>
                </c:pt>
                <c:pt idx="1">
                  <c:v>59464.289832198301</c:v>
                </c:pt>
                <c:pt idx="2">
                  <c:v>739.98857723165611</c:v>
                </c:pt>
                <c:pt idx="3">
                  <c:v>6593.1607082226101</c:v>
                </c:pt>
                <c:pt idx="4">
                  <c:v>38867.860462588797</c:v>
                </c:pt>
                <c:pt idx="5">
                  <c:v>128232.44936534829</c:v>
                </c:pt>
                <c:pt idx="6">
                  <c:v>2575.549913556003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46021</v>
      </c>
      <c r="B6" s="416"/>
      <c r="C6" s="417"/>
    </row>
    <row r="7" spans="1:7" s="414" customFormat="1" ht="15.75" customHeight="1">
      <c r="A7" s="418" t="str">
        <f>txtMunicipality</f>
        <v>SINT-NIKLAAS</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31084</v>
      </c>
      <c r="C9" s="342">
        <v>32708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3817</v>
      </c>
    </row>
    <row r="15" spans="1:6">
      <c r="A15" s="348" t="s">
        <v>184</v>
      </c>
      <c r="B15" s="334">
        <v>43</v>
      </c>
    </row>
    <row r="16" spans="1:6">
      <c r="A16" s="348" t="s">
        <v>6</v>
      </c>
      <c r="B16" s="334">
        <v>2096</v>
      </c>
    </row>
    <row r="17" spans="1:6">
      <c r="A17" s="348" t="s">
        <v>7</v>
      </c>
      <c r="B17" s="334">
        <v>965</v>
      </c>
    </row>
    <row r="18" spans="1:6">
      <c r="A18" s="348" t="s">
        <v>8</v>
      </c>
      <c r="B18" s="334">
        <v>1948</v>
      </c>
    </row>
    <row r="19" spans="1:6">
      <c r="A19" s="348" t="s">
        <v>9</v>
      </c>
      <c r="B19" s="334">
        <v>1921</v>
      </c>
    </row>
    <row r="20" spans="1:6">
      <c r="A20" s="348" t="s">
        <v>10</v>
      </c>
      <c r="B20" s="334">
        <v>835</v>
      </c>
    </row>
    <row r="21" spans="1:6">
      <c r="A21" s="348" t="s">
        <v>11</v>
      </c>
      <c r="B21" s="334">
        <v>15382</v>
      </c>
    </row>
    <row r="22" spans="1:6">
      <c r="A22" s="348" t="s">
        <v>12</v>
      </c>
      <c r="B22" s="334">
        <v>29178</v>
      </c>
    </row>
    <row r="23" spans="1:6">
      <c r="A23" s="348" t="s">
        <v>13</v>
      </c>
      <c r="B23" s="334">
        <v>946</v>
      </c>
    </row>
    <row r="24" spans="1:6">
      <c r="A24" s="348" t="s">
        <v>14</v>
      </c>
      <c r="B24" s="334">
        <v>39</v>
      </c>
    </row>
    <row r="25" spans="1:6">
      <c r="A25" s="348" t="s">
        <v>15</v>
      </c>
      <c r="B25" s="334">
        <v>4593</v>
      </c>
    </row>
    <row r="26" spans="1:6">
      <c r="A26" s="348" t="s">
        <v>16</v>
      </c>
      <c r="B26" s="334">
        <v>314</v>
      </c>
    </row>
    <row r="27" spans="1:6">
      <c r="A27" s="348" t="s">
        <v>17</v>
      </c>
      <c r="B27" s="334">
        <v>852</v>
      </c>
    </row>
    <row r="28" spans="1:6" s="356" customFormat="1">
      <c r="A28" s="355" t="s">
        <v>18</v>
      </c>
      <c r="B28" s="355">
        <v>221110</v>
      </c>
    </row>
    <row r="29" spans="1:6">
      <c r="A29" s="355" t="s">
        <v>865</v>
      </c>
      <c r="B29" s="355">
        <v>429</v>
      </c>
      <c r="C29" s="356"/>
      <c r="D29" s="356"/>
      <c r="E29" s="356"/>
      <c r="F29" s="356"/>
    </row>
    <row r="30" spans="1:6">
      <c r="A30" s="341" t="s">
        <v>866</v>
      </c>
      <c r="B30" s="341">
        <v>136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946524.62745590601</v>
      </c>
      <c r="E36" s="334">
        <v>10</v>
      </c>
      <c r="F36" s="334">
        <v>339399</v>
      </c>
    </row>
    <row r="37" spans="1:6">
      <c r="A37" s="348" t="s">
        <v>25</v>
      </c>
      <c r="B37" s="348" t="s">
        <v>28</v>
      </c>
      <c r="C37" s="334">
        <v>0</v>
      </c>
      <c r="D37" s="334">
        <v>0</v>
      </c>
      <c r="E37" s="334">
        <v>0</v>
      </c>
      <c r="F37" s="334">
        <v>0</v>
      </c>
    </row>
    <row r="38" spans="1:6">
      <c r="A38" s="348" t="s">
        <v>25</v>
      </c>
      <c r="B38" s="348" t="s">
        <v>29</v>
      </c>
      <c r="C38" s="334">
        <v>2</v>
      </c>
      <c r="D38" s="334">
        <v>226630.19805415699</v>
      </c>
      <c r="E38" s="334">
        <v>6</v>
      </c>
      <c r="F38" s="334">
        <v>72707.34</v>
      </c>
    </row>
    <row r="39" spans="1:6">
      <c r="A39" s="348" t="s">
        <v>30</v>
      </c>
      <c r="B39" s="348" t="s">
        <v>31</v>
      </c>
      <c r="C39" s="334">
        <v>23264</v>
      </c>
      <c r="D39" s="334">
        <v>304034047.36571199</v>
      </c>
      <c r="E39" s="334">
        <v>31060</v>
      </c>
      <c r="F39" s="334">
        <v>109000000</v>
      </c>
    </row>
    <row r="40" spans="1:6">
      <c r="A40" s="348" t="s">
        <v>30</v>
      </c>
      <c r="B40" s="348" t="s">
        <v>29</v>
      </c>
      <c r="C40" s="334">
        <v>0</v>
      </c>
      <c r="D40" s="334">
        <v>0</v>
      </c>
      <c r="E40" s="334">
        <v>1</v>
      </c>
      <c r="F40" s="334">
        <v>14625</v>
      </c>
    </row>
    <row r="41" spans="1:6">
      <c r="A41" s="348" t="s">
        <v>32</v>
      </c>
      <c r="B41" s="348" t="s">
        <v>33</v>
      </c>
      <c r="C41" s="334">
        <v>229</v>
      </c>
      <c r="D41" s="334">
        <v>5916655.3445715802</v>
      </c>
      <c r="E41" s="334">
        <v>492</v>
      </c>
      <c r="F41" s="334">
        <v>5740043</v>
      </c>
    </row>
    <row r="42" spans="1:6">
      <c r="A42" s="348" t="s">
        <v>32</v>
      </c>
      <c r="B42" s="348" t="s">
        <v>34</v>
      </c>
      <c r="C42" s="334">
        <v>4</v>
      </c>
      <c r="D42" s="334">
        <v>3472261.7394758398</v>
      </c>
      <c r="E42" s="334">
        <v>4</v>
      </c>
      <c r="F42" s="334">
        <v>2107702</v>
      </c>
    </row>
    <row r="43" spans="1:6">
      <c r="A43" s="348" t="s">
        <v>32</v>
      </c>
      <c r="B43" s="348" t="s">
        <v>35</v>
      </c>
      <c r="C43" s="334">
        <v>0</v>
      </c>
      <c r="D43" s="334">
        <v>0</v>
      </c>
      <c r="E43" s="334">
        <v>3</v>
      </c>
      <c r="F43" s="334">
        <v>18343.439999999999</v>
      </c>
    </row>
    <row r="44" spans="1:6">
      <c r="A44" s="348" t="s">
        <v>32</v>
      </c>
      <c r="B44" s="348" t="s">
        <v>36</v>
      </c>
      <c r="C44" s="334">
        <v>25</v>
      </c>
      <c r="D44" s="334">
        <v>8732985.3185376208</v>
      </c>
      <c r="E44" s="334">
        <v>72</v>
      </c>
      <c r="F44" s="334">
        <v>11987230</v>
      </c>
    </row>
    <row r="45" spans="1:6">
      <c r="A45" s="348" t="s">
        <v>32</v>
      </c>
      <c r="B45" s="348" t="s">
        <v>37</v>
      </c>
      <c r="C45" s="334">
        <v>0</v>
      </c>
      <c r="D45" s="334">
        <v>0</v>
      </c>
      <c r="E45" s="334">
        <v>12</v>
      </c>
      <c r="F45" s="334">
        <v>228333.9</v>
      </c>
    </row>
    <row r="46" spans="1:6">
      <c r="A46" s="348" t="s">
        <v>32</v>
      </c>
      <c r="B46" s="348" t="s">
        <v>38</v>
      </c>
      <c r="C46" s="334">
        <v>0</v>
      </c>
      <c r="D46" s="334">
        <v>0</v>
      </c>
      <c r="E46" s="334">
        <v>0</v>
      </c>
      <c r="F46" s="334">
        <v>0</v>
      </c>
    </row>
    <row r="47" spans="1:6">
      <c r="A47" s="348" t="s">
        <v>32</v>
      </c>
      <c r="B47" s="348" t="s">
        <v>39</v>
      </c>
      <c r="C47" s="334">
        <v>20</v>
      </c>
      <c r="D47" s="334">
        <v>1320481.0992552801</v>
      </c>
      <c r="E47" s="334">
        <v>22</v>
      </c>
      <c r="F47" s="334">
        <v>1997596</v>
      </c>
    </row>
    <row r="48" spans="1:6">
      <c r="A48" s="348" t="s">
        <v>32</v>
      </c>
      <c r="B48" s="348" t="s">
        <v>29</v>
      </c>
      <c r="C48" s="334">
        <v>91</v>
      </c>
      <c r="D48" s="334">
        <v>32576046.626668099</v>
      </c>
      <c r="E48" s="334">
        <v>97</v>
      </c>
      <c r="F48" s="334">
        <v>35667491</v>
      </c>
    </row>
    <row r="49" spans="1:6">
      <c r="A49" s="348" t="s">
        <v>32</v>
      </c>
      <c r="B49" s="348" t="s">
        <v>40</v>
      </c>
      <c r="C49" s="334">
        <v>8</v>
      </c>
      <c r="D49" s="334">
        <v>645074.80684913404</v>
      </c>
      <c r="E49" s="334">
        <v>26</v>
      </c>
      <c r="F49" s="334">
        <v>3358287</v>
      </c>
    </row>
    <row r="50" spans="1:6">
      <c r="A50" s="348" t="s">
        <v>32</v>
      </c>
      <c r="B50" s="348" t="s">
        <v>41</v>
      </c>
      <c r="C50" s="334">
        <v>35</v>
      </c>
      <c r="D50" s="334">
        <v>7973514.1972590396</v>
      </c>
      <c r="E50" s="334">
        <v>58</v>
      </c>
      <c r="F50" s="334">
        <v>13748856</v>
      </c>
    </row>
    <row r="51" spans="1:6">
      <c r="A51" s="348" t="s">
        <v>42</v>
      </c>
      <c r="B51" s="348" t="s">
        <v>43</v>
      </c>
      <c r="C51" s="334">
        <v>28</v>
      </c>
      <c r="D51" s="334">
        <v>707018.79984138405</v>
      </c>
      <c r="E51" s="334">
        <v>177</v>
      </c>
      <c r="F51" s="334">
        <v>3259922</v>
      </c>
    </row>
    <row r="52" spans="1:6">
      <c r="A52" s="348" t="s">
        <v>42</v>
      </c>
      <c r="B52" s="348" t="s">
        <v>29</v>
      </c>
      <c r="C52" s="334">
        <v>20</v>
      </c>
      <c r="D52" s="334">
        <v>1690687.92741697</v>
      </c>
      <c r="E52" s="334">
        <v>24</v>
      </c>
      <c r="F52" s="334">
        <v>765436.6</v>
      </c>
    </row>
    <row r="53" spans="1:6">
      <c r="A53" s="348" t="s">
        <v>44</v>
      </c>
      <c r="B53" s="348" t="s">
        <v>45</v>
      </c>
      <c r="C53" s="334">
        <v>714</v>
      </c>
      <c r="D53" s="334">
        <v>13025098.089643</v>
      </c>
      <c r="E53" s="334">
        <v>1341</v>
      </c>
      <c r="F53" s="334">
        <v>7231347</v>
      </c>
    </row>
    <row r="54" spans="1:6">
      <c r="A54" s="348" t="s">
        <v>46</v>
      </c>
      <c r="B54" s="348" t="s">
        <v>47</v>
      </c>
      <c r="C54" s="334">
        <v>0</v>
      </c>
      <c r="D54" s="334">
        <v>0</v>
      </c>
      <c r="E54" s="334">
        <v>1</v>
      </c>
      <c r="F54" s="334">
        <v>3592119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286</v>
      </c>
      <c r="D57" s="334">
        <v>19205056.831192099</v>
      </c>
      <c r="E57" s="334">
        <v>482</v>
      </c>
      <c r="F57" s="334">
        <v>12051573</v>
      </c>
    </row>
    <row r="58" spans="1:6">
      <c r="A58" s="348" t="s">
        <v>49</v>
      </c>
      <c r="B58" s="348" t="s">
        <v>51</v>
      </c>
      <c r="C58" s="334">
        <v>164</v>
      </c>
      <c r="D58" s="334">
        <v>32122937.702760801</v>
      </c>
      <c r="E58" s="334">
        <v>221</v>
      </c>
      <c r="F58" s="334">
        <v>17496288</v>
      </c>
    </row>
    <row r="59" spans="1:6">
      <c r="A59" s="348" t="s">
        <v>49</v>
      </c>
      <c r="B59" s="348" t="s">
        <v>52</v>
      </c>
      <c r="C59" s="334">
        <v>594</v>
      </c>
      <c r="D59" s="334">
        <v>31144452.255167201</v>
      </c>
      <c r="E59" s="334">
        <v>1064</v>
      </c>
      <c r="F59" s="334">
        <v>42820100</v>
      </c>
    </row>
    <row r="60" spans="1:6">
      <c r="A60" s="348" t="s">
        <v>49</v>
      </c>
      <c r="B60" s="348" t="s">
        <v>53</v>
      </c>
      <c r="C60" s="334">
        <v>253</v>
      </c>
      <c r="D60" s="334">
        <v>10660847.859312</v>
      </c>
      <c r="E60" s="334">
        <v>333</v>
      </c>
      <c r="F60" s="334">
        <v>9687599</v>
      </c>
    </row>
    <row r="61" spans="1:6">
      <c r="A61" s="348" t="s">
        <v>49</v>
      </c>
      <c r="B61" s="348" t="s">
        <v>54</v>
      </c>
      <c r="C61" s="334">
        <v>664</v>
      </c>
      <c r="D61" s="334">
        <v>43506956.460094199</v>
      </c>
      <c r="E61" s="334">
        <v>1435</v>
      </c>
      <c r="F61" s="334">
        <v>30634700</v>
      </c>
    </row>
    <row r="62" spans="1:6">
      <c r="A62" s="348" t="s">
        <v>49</v>
      </c>
      <c r="B62" s="348" t="s">
        <v>55</v>
      </c>
      <c r="C62" s="334">
        <v>70</v>
      </c>
      <c r="D62" s="334">
        <v>10750784.146565899</v>
      </c>
      <c r="E62" s="334">
        <v>69</v>
      </c>
      <c r="F62" s="334">
        <v>3584805</v>
      </c>
    </row>
    <row r="63" spans="1:6">
      <c r="A63" s="348" t="s">
        <v>49</v>
      </c>
      <c r="B63" s="348" t="s">
        <v>29</v>
      </c>
      <c r="C63" s="334">
        <v>214</v>
      </c>
      <c r="D63" s="334">
        <v>11613370.2562079</v>
      </c>
      <c r="E63" s="334">
        <v>253</v>
      </c>
      <c r="F63" s="334">
        <v>7326848</v>
      </c>
    </row>
    <row r="64" spans="1:6">
      <c r="A64" s="348" t="s">
        <v>56</v>
      </c>
      <c r="B64" s="348" t="s">
        <v>57</v>
      </c>
      <c r="C64" s="334">
        <v>0</v>
      </c>
      <c r="D64" s="334">
        <v>0</v>
      </c>
      <c r="E64" s="334">
        <v>0</v>
      </c>
      <c r="F64" s="334">
        <v>0</v>
      </c>
    </row>
    <row r="65" spans="1:6">
      <c r="A65" s="348" t="s">
        <v>56</v>
      </c>
      <c r="B65" s="348" t="s">
        <v>29</v>
      </c>
      <c r="C65" s="334">
        <v>7</v>
      </c>
      <c r="D65" s="334">
        <v>604482.825281483</v>
      </c>
      <c r="E65" s="334">
        <v>6</v>
      </c>
      <c r="F65" s="334">
        <v>56034.22</v>
      </c>
    </row>
    <row r="66" spans="1:6">
      <c r="A66" s="348" t="s">
        <v>56</v>
      </c>
      <c r="B66" s="348" t="s">
        <v>58</v>
      </c>
      <c r="C66" s="334">
        <v>0</v>
      </c>
      <c r="D66" s="334">
        <v>0</v>
      </c>
      <c r="E66" s="334">
        <v>29</v>
      </c>
      <c r="F66" s="334">
        <v>1465939</v>
      </c>
    </row>
    <row r="67" spans="1:6">
      <c r="A67" s="355" t="s">
        <v>56</v>
      </c>
      <c r="B67" s="355" t="s">
        <v>59</v>
      </c>
      <c r="C67" s="334">
        <v>0</v>
      </c>
      <c r="D67" s="334">
        <v>0</v>
      </c>
      <c r="E67" s="334">
        <v>0</v>
      </c>
      <c r="F67" s="334">
        <v>0</v>
      </c>
    </row>
    <row r="68" spans="1:6">
      <c r="A68" s="341" t="s">
        <v>56</v>
      </c>
      <c r="B68" s="341" t="s">
        <v>60</v>
      </c>
      <c r="C68" s="334">
        <v>11</v>
      </c>
      <c r="D68" s="334">
        <v>187512.10130568501</v>
      </c>
      <c r="E68" s="334">
        <v>42</v>
      </c>
      <c r="F68" s="334">
        <v>530799.80000000005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171649054</v>
      </c>
      <c r="E73" s="477">
        <v>171800236.35742125</v>
      </c>
    </row>
    <row r="74" spans="1:6">
      <c r="A74" s="348" t="s">
        <v>64</v>
      </c>
      <c r="B74" s="348" t="s">
        <v>714</v>
      </c>
      <c r="C74" s="1288" t="s">
        <v>716</v>
      </c>
      <c r="D74" s="477">
        <v>19521809.639644701</v>
      </c>
      <c r="E74" s="477">
        <v>19914514.495293826</v>
      </c>
    </row>
    <row r="75" spans="1:6">
      <c r="A75" s="348" t="s">
        <v>65</v>
      </c>
      <c r="B75" s="348" t="s">
        <v>713</v>
      </c>
      <c r="C75" s="1288" t="s">
        <v>717</v>
      </c>
      <c r="D75" s="477">
        <v>164107084</v>
      </c>
      <c r="E75" s="477">
        <v>168387097.71443754</v>
      </c>
    </row>
    <row r="76" spans="1:6">
      <c r="A76" s="348" t="s">
        <v>65</v>
      </c>
      <c r="B76" s="348" t="s">
        <v>714</v>
      </c>
      <c r="C76" s="1288" t="s">
        <v>718</v>
      </c>
      <c r="D76" s="477">
        <v>10299286.639644703</v>
      </c>
      <c r="E76" s="477">
        <v>10766657.859276945</v>
      </c>
    </row>
    <row r="77" spans="1:6">
      <c r="A77" s="348" t="s">
        <v>66</v>
      </c>
      <c r="B77" s="348" t="s">
        <v>713</v>
      </c>
      <c r="C77" s="1288" t="s">
        <v>719</v>
      </c>
      <c r="D77" s="477">
        <v>132521952</v>
      </c>
      <c r="E77" s="477">
        <v>142943238.68607464</v>
      </c>
    </row>
    <row r="78" spans="1:6">
      <c r="A78" s="341" t="s">
        <v>66</v>
      </c>
      <c r="B78" s="341" t="s">
        <v>714</v>
      </c>
      <c r="C78" s="341" t="s">
        <v>720</v>
      </c>
      <c r="D78" s="1284">
        <v>31976641</v>
      </c>
      <c r="E78" s="1284">
        <v>33691105.249666251</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2724708.7207105951</v>
      </c>
      <c r="C83" s="477">
        <v>2764532.4320269227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10093.398931553917</v>
      </c>
    </row>
    <row r="92" spans="1:6">
      <c r="A92" s="341" t="s">
        <v>69</v>
      </c>
      <c r="B92" s="342">
        <v>12076.047997043997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16810</v>
      </c>
    </row>
    <row r="98" spans="1:6">
      <c r="A98" s="348" t="s">
        <v>72</v>
      </c>
      <c r="B98" s="334">
        <v>15</v>
      </c>
    </row>
    <row r="99" spans="1:6">
      <c r="A99" s="348" t="s">
        <v>73</v>
      </c>
      <c r="B99" s="334">
        <v>215</v>
      </c>
    </row>
    <row r="100" spans="1:6">
      <c r="A100" s="348" t="s">
        <v>74</v>
      </c>
      <c r="B100" s="334">
        <v>2077</v>
      </c>
    </row>
    <row r="101" spans="1:6">
      <c r="A101" s="348" t="s">
        <v>75</v>
      </c>
      <c r="B101" s="334">
        <v>290</v>
      </c>
    </row>
    <row r="102" spans="1:6">
      <c r="A102" s="348" t="s">
        <v>76</v>
      </c>
      <c r="B102" s="334">
        <v>856</v>
      </c>
    </row>
    <row r="103" spans="1:6">
      <c r="A103" s="348" t="s">
        <v>77</v>
      </c>
      <c r="B103" s="334">
        <v>965</v>
      </c>
    </row>
    <row r="104" spans="1:6">
      <c r="A104" s="348" t="s">
        <v>78</v>
      </c>
      <c r="B104" s="334">
        <v>6412</v>
      </c>
    </row>
    <row r="105" spans="1:6">
      <c r="A105" s="341" t="s">
        <v>79</v>
      </c>
      <c r="B105" s="341">
        <v>32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57</v>
      </c>
      <c r="C123" s="334">
        <v>70</v>
      </c>
    </row>
    <row r="124" spans="1:6">
      <c r="A124" s="341" t="s">
        <v>89</v>
      </c>
      <c r="B124" s="334">
        <v>3</v>
      </c>
      <c r="C124" s="334">
        <v>6</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389</v>
      </c>
    </row>
    <row r="130" spans="1:6">
      <c r="A130" s="348" t="s">
        <v>295</v>
      </c>
      <c r="B130" s="334">
        <v>9</v>
      </c>
    </row>
    <row r="131" spans="1:6">
      <c r="A131" s="348" t="s">
        <v>296</v>
      </c>
      <c r="B131" s="334">
        <v>10</v>
      </c>
    </row>
    <row r="132" spans="1:6">
      <c r="A132" s="341" t="s">
        <v>297</v>
      </c>
      <c r="B132" s="342">
        <v>44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325936.22603264026</v>
      </c>
      <c r="C3" s="43" t="s">
        <v>170</v>
      </c>
      <c r="D3" s="43"/>
      <c r="E3" s="154"/>
      <c r="F3" s="43"/>
      <c r="G3" s="43"/>
      <c r="H3" s="43"/>
      <c r="I3" s="43"/>
      <c r="J3" s="43"/>
      <c r="K3" s="96"/>
    </row>
    <row r="4" spans="1:11">
      <c r="A4" s="384" t="s">
        <v>171</v>
      </c>
      <c r="B4" s="49">
        <f>IF(ISERROR('SEAP template'!B69),0,'SEAP template'!B69)</f>
        <v>22860.196928597914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164.15470588235297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0.20600335824945001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234.50672268907564</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986.78571428571433</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0.23764705882352941</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3592.1190000000001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3592.1190000000001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0.20600335824945001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739.98857723165611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109014.625</v>
      </c>
      <c r="C5" s="17">
        <f>IF(ISERROR('Eigen informatie GS &amp; warmtenet'!B57),0,'Eigen informatie GS &amp; warmtenet'!B57)</f>
        <v>0</v>
      </c>
      <c r="D5" s="30">
        <f>(SUM(HH_hh_gas_kWh,HH_rest_gas_kWh)/1000)*0.902</f>
        <v>274238.71072387224</v>
      </c>
      <c r="E5" s="17">
        <f>B46*B57</f>
        <v>9189.3725056419516</v>
      </c>
      <c r="F5" s="17">
        <f>B51*B62</f>
        <v>0</v>
      </c>
      <c r="G5" s="18"/>
      <c r="H5" s="17"/>
      <c r="I5" s="17"/>
      <c r="J5" s="17">
        <f>B50*B61+C50*C61</f>
        <v>11241.681911242737</v>
      </c>
      <c r="K5" s="17"/>
      <c r="L5" s="17"/>
      <c r="M5" s="17"/>
      <c r="N5" s="17">
        <f>B48*B59+C48*C59</f>
        <v>47004.948505765678</v>
      </c>
      <c r="O5" s="17">
        <f>B69*B70*B71</f>
        <v>726.95</v>
      </c>
      <c r="P5" s="17">
        <f>B77*B78*B79/1000-B77*B78*B79/1000/B80</f>
        <v>1982.9333333333334</v>
      </c>
    </row>
    <row r="6" spans="1:16">
      <c r="A6" s="16" t="s">
        <v>631</v>
      </c>
      <c r="B6" s="844">
        <f>kWh_PV_kleiner_dan_10kW</f>
        <v>10093.398931553917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119108.02393155392</v>
      </c>
      <c r="C8" s="21">
        <f>C5</f>
        <v>0</v>
      </c>
      <c r="D8" s="21">
        <f>D5</f>
        <v>274238.71072387224</v>
      </c>
      <c r="E8" s="21">
        <f>E5</f>
        <v>9189.3725056419516</v>
      </c>
      <c r="F8" s="21">
        <f>F5</f>
        <v>0</v>
      </c>
      <c r="G8" s="21"/>
      <c r="H8" s="21"/>
      <c r="I8" s="21"/>
      <c r="J8" s="21">
        <f>J5</f>
        <v>11241.681911242737</v>
      </c>
      <c r="K8" s="21"/>
      <c r="L8" s="21">
        <f>L5</f>
        <v>0</v>
      </c>
      <c r="M8" s="21">
        <f>M5</f>
        <v>0</v>
      </c>
      <c r="N8" s="21">
        <f>N5</f>
        <v>47004.948505765678</v>
      </c>
      <c r="O8" s="21">
        <f>O5</f>
        <v>726.95</v>
      </c>
      <c r="P8" s="21">
        <f>P5</f>
        <v>1982.9333333333334</v>
      </c>
    </row>
    <row r="9" spans="1:16">
      <c r="B9" s="19"/>
      <c r="C9" s="19"/>
      <c r="D9" s="258"/>
      <c r="E9" s="19"/>
      <c r="F9" s="19"/>
      <c r="G9" s="19"/>
      <c r="H9" s="19"/>
      <c r="I9" s="19"/>
      <c r="J9" s="19"/>
      <c r="K9" s="19"/>
      <c r="L9" s="19"/>
      <c r="M9" s="19"/>
      <c r="N9" s="19"/>
      <c r="O9" s="19"/>
      <c r="P9" s="19"/>
    </row>
    <row r="10" spans="1:16">
      <c r="A10" s="24" t="s">
        <v>214</v>
      </c>
      <c r="B10" s="25">
        <f ca="1">'EF ele_warmte'!B12</f>
        <v>0.20600335824945001</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24536.652924355967</v>
      </c>
      <c r="C12" s="23">
        <f ca="1">C10*C8</f>
        <v>0</v>
      </c>
      <c r="D12" s="23">
        <f>D8*D10</f>
        <v>55396.219566222193</v>
      </c>
      <c r="E12" s="23">
        <f>E10*E8</f>
        <v>2085.9875587807232</v>
      </c>
      <c r="F12" s="23">
        <f>F10*F8</f>
        <v>0</v>
      </c>
      <c r="G12" s="23"/>
      <c r="H12" s="23"/>
      <c r="I12" s="23"/>
      <c r="J12" s="23">
        <f>J10*J8</f>
        <v>3979.5553965799286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16810</v>
      </c>
      <c r="C18" s="166" t="s">
        <v>111</v>
      </c>
      <c r="D18" s="228"/>
      <c r="E18" s="15"/>
    </row>
    <row r="19" spans="1:7">
      <c r="A19" s="171" t="s">
        <v>72</v>
      </c>
      <c r="B19" s="37">
        <f>aantalw2001_ander</f>
        <v>15</v>
      </c>
      <c r="C19" s="166" t="s">
        <v>111</v>
      </c>
      <c r="D19" s="229"/>
      <c r="E19" s="15"/>
    </row>
    <row r="20" spans="1:7">
      <c r="A20" s="171" t="s">
        <v>73</v>
      </c>
      <c r="B20" s="37">
        <f>aantalw2001_propaan</f>
        <v>215</v>
      </c>
      <c r="C20" s="167">
        <f>IF(ISERROR(B20/SUM($B$20,$B$21,$B$22)*100),0,B20/SUM($B$20,$B$21,$B$22)*100)</f>
        <v>8.3268783888458557</v>
      </c>
      <c r="D20" s="229"/>
      <c r="E20" s="15"/>
    </row>
    <row r="21" spans="1:7">
      <c r="A21" s="171" t="s">
        <v>74</v>
      </c>
      <c r="B21" s="37">
        <f>aantalw2001_elektriciteit</f>
        <v>2077</v>
      </c>
      <c r="C21" s="167">
        <f>IF(ISERROR(B21/SUM($B$20,$B$21,$B$22)*100),0,B21/SUM($B$20,$B$21,$B$22)*100)</f>
        <v>80.441518202943456</v>
      </c>
      <c r="D21" s="229"/>
      <c r="E21" s="15"/>
    </row>
    <row r="22" spans="1:7">
      <c r="A22" s="171" t="s">
        <v>75</v>
      </c>
      <c r="B22" s="37">
        <f>aantalw2001_hout</f>
        <v>290</v>
      </c>
      <c r="C22" s="167">
        <f>IF(ISERROR(B22/SUM($B$20,$B$21,$B$22)*100),0,B22/SUM($B$20,$B$21,$B$22)*100)</f>
        <v>11.23160340821069</v>
      </c>
      <c r="D22" s="229"/>
      <c r="E22" s="15"/>
    </row>
    <row r="23" spans="1:7">
      <c r="A23" s="171" t="s">
        <v>76</v>
      </c>
      <c r="B23" s="37">
        <f>aantalw2001_niet_gespec</f>
        <v>856</v>
      </c>
      <c r="C23" s="166" t="s">
        <v>111</v>
      </c>
      <c r="D23" s="228"/>
      <c r="E23" s="15"/>
    </row>
    <row r="24" spans="1:7">
      <c r="A24" s="171" t="s">
        <v>77</v>
      </c>
      <c r="B24" s="37">
        <f>aantalw2001_steenkool</f>
        <v>965</v>
      </c>
      <c r="C24" s="166" t="s">
        <v>111</v>
      </c>
      <c r="D24" s="229"/>
      <c r="E24" s="15"/>
    </row>
    <row r="25" spans="1:7">
      <c r="A25" s="171" t="s">
        <v>78</v>
      </c>
      <c r="B25" s="37">
        <f>aantalw2001_stookolie</f>
        <v>6412</v>
      </c>
      <c r="C25" s="166" t="s">
        <v>111</v>
      </c>
      <c r="D25" s="228"/>
      <c r="E25" s="52"/>
    </row>
    <row r="26" spans="1:7">
      <c r="A26" s="171" t="s">
        <v>79</v>
      </c>
      <c r="B26" s="37">
        <f>aantalw2001_WP</f>
        <v>32</v>
      </c>
      <c r="C26" s="166" t="s">
        <v>111</v>
      </c>
      <c r="D26" s="228"/>
      <c r="E26" s="15"/>
    </row>
    <row r="27" spans="1:7" s="15" customFormat="1">
      <c r="A27" s="171"/>
      <c r="B27" s="29"/>
      <c r="C27" s="36"/>
      <c r="D27" s="228"/>
    </row>
    <row r="28" spans="1:7" s="15" customFormat="1">
      <c r="A28" s="230" t="s">
        <v>740</v>
      </c>
      <c r="B28" s="37">
        <f>aantalHuishoudens2011</f>
        <v>31084</v>
      </c>
      <c r="C28" s="36"/>
      <c r="D28" s="228"/>
    </row>
    <row r="29" spans="1:7" s="15" customFormat="1">
      <c r="A29" s="230" t="s">
        <v>741</v>
      </c>
      <c r="B29" s="37">
        <f>SUM(HH_hh_gas_aantal,HH_rest_gas_aantal)</f>
        <v>23264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23264</v>
      </c>
      <c r="C32" s="167">
        <f>IF(ISERROR(B32/SUM($B$32,$B$34,$B$35,$B$36,$B$38,$B$39)*100),0,B32/SUM($B$32,$B$34,$B$35,$B$36,$B$38,$B$39)*100)</f>
        <v>75.093608779857973</v>
      </c>
      <c r="D32" s="233"/>
      <c r="G32" s="15"/>
    </row>
    <row r="33" spans="1:7">
      <c r="A33" s="171" t="s">
        <v>72</v>
      </c>
      <c r="B33" s="34" t="s">
        <v>111</v>
      </c>
      <c r="C33" s="167"/>
      <c r="D33" s="233"/>
      <c r="G33" s="15"/>
    </row>
    <row r="34" spans="1:7">
      <c r="A34" s="171" t="s">
        <v>73</v>
      </c>
      <c r="B34" s="33">
        <f>IF((($B$28-$B$32-$B$39-$B$77-$B$38)*C20/100)&lt;0,0,($B$28-$B$32-$B$39-$B$77-$B$38)*C20/100)</f>
        <v>615.88923315259478</v>
      </c>
      <c r="C34" s="167">
        <f>IF(ISERROR(B34/SUM($B$32,$B$34,$B$35,$B$36,$B$38,$B$39)*100),0,B34/SUM($B$32,$B$34,$B$35,$B$36,$B$38,$B$39)*100)</f>
        <v>1.9880220566578271</v>
      </c>
      <c r="D34" s="233"/>
      <c r="G34" s="15"/>
    </row>
    <row r="35" spans="1:7">
      <c r="A35" s="171" t="s">
        <v>74</v>
      </c>
      <c r="B35" s="33">
        <f>IF((($B$28-$B$32-$B$39-$B$77-$B$38)*C21/100)&lt;0,0,($B$28-$B$32-$B$39-$B$77-$B$38)*C21/100)</f>
        <v>5949.7764523625092</v>
      </c>
      <c r="C35" s="167">
        <f>IF(ISERROR(B35/SUM($B$32,$B$34,$B$35,$B$36,$B$38,$B$39)*100),0,B35/SUM($B$32,$B$34,$B$35,$B$36,$B$38,$B$39)*100)</f>
        <v>19.205217728736311</v>
      </c>
      <c r="D35" s="233"/>
      <c r="G35" s="15"/>
    </row>
    <row r="36" spans="1:7">
      <c r="A36" s="171" t="s">
        <v>75</v>
      </c>
      <c r="B36" s="33">
        <f>IF((($B$28-$B$32-$B$39-$B$77-$B$38)*C22/100)&lt;0,0,($B$28-$B$32-$B$39-$B$77-$B$38)*C22/100)</f>
        <v>830.73431448489544</v>
      </c>
      <c r="C36" s="167">
        <f>IF(ISERROR(B36/SUM($B$32,$B$34,$B$35,$B$36,$B$38,$B$39)*100),0,B36/SUM($B$32,$B$34,$B$35,$B$36,$B$38,$B$39)*100)</f>
        <v>2.6815181229338139</v>
      </c>
      <c r="D36" s="233"/>
      <c r="G36" s="15"/>
    </row>
    <row r="37" spans="1:7">
      <c r="A37" s="171" t="s">
        <v>76</v>
      </c>
      <c r="B37" s="34" t="s">
        <v>111</v>
      </c>
      <c r="C37" s="167"/>
      <c r="D37" s="173"/>
      <c r="G37" s="15"/>
    </row>
    <row r="38" spans="1:7">
      <c r="A38" s="171" t="s">
        <v>77</v>
      </c>
      <c r="B38" s="33">
        <f>IF((B24-(B29-B18)*0.1)&lt;0,0,B24-(B29-B18)*0.1)</f>
        <v>319.59999999999991</v>
      </c>
      <c r="C38" s="167">
        <f>IF(ISERROR(B38/SUM($B$32,$B$34,$B$35,$B$36,$B$38,$B$39)*100),0,B38/SUM($B$32,$B$34,$B$35,$B$36,$B$38,$B$39)*100)</f>
        <v>1.0316333118140735</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23264</v>
      </c>
      <c r="C44" s="34" t="s">
        <v>111</v>
      </c>
      <c r="D44" s="174"/>
    </row>
    <row r="45" spans="1:7">
      <c r="A45" s="171" t="s">
        <v>72</v>
      </c>
      <c r="B45" s="33" t="str">
        <f t="shared" si="0"/>
        <v>-</v>
      </c>
      <c r="C45" s="34" t="s">
        <v>111</v>
      </c>
      <c r="D45" s="174"/>
    </row>
    <row r="46" spans="1:7">
      <c r="A46" s="171" t="s">
        <v>73</v>
      </c>
      <c r="B46" s="33">
        <f t="shared" si="0"/>
        <v>615.88923315259478</v>
      </c>
      <c r="C46" s="34" t="s">
        <v>111</v>
      </c>
      <c r="D46" s="174"/>
    </row>
    <row r="47" spans="1:7">
      <c r="A47" s="171" t="s">
        <v>74</v>
      </c>
      <c r="B47" s="33">
        <f t="shared" si="0"/>
        <v>5949.7764523625092</v>
      </c>
      <c r="C47" s="34" t="s">
        <v>111</v>
      </c>
      <c r="D47" s="174"/>
    </row>
    <row r="48" spans="1:7">
      <c r="A48" s="171" t="s">
        <v>75</v>
      </c>
      <c r="B48" s="33">
        <f t="shared" si="0"/>
        <v>830.73431448489544</v>
      </c>
      <c r="C48" s="33">
        <f>B48*10</f>
        <v>8307.3431448489537</v>
      </c>
      <c r="D48" s="234"/>
    </row>
    <row r="49" spans="1:6">
      <c r="A49" s="171" t="s">
        <v>76</v>
      </c>
      <c r="B49" s="33" t="str">
        <f t="shared" si="0"/>
        <v>-</v>
      </c>
      <c r="C49" s="34" t="s">
        <v>111</v>
      </c>
      <c r="D49" s="234"/>
    </row>
    <row r="50" spans="1:6">
      <c r="A50" s="171" t="s">
        <v>77</v>
      </c>
      <c r="B50" s="33">
        <f t="shared" si="0"/>
        <v>319.59999999999991</v>
      </c>
      <c r="C50" s="33">
        <f>B50*2</f>
        <v>639.19999999999982</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465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123601.913</v>
      </c>
      <c r="C5" s="17">
        <f>IF(ISERROR('Eigen informatie GS &amp; warmtenet'!B58),0,'Eigen informatie GS &amp; warmtenet'!B58)</f>
        <v>0</v>
      </c>
      <c r="D5" s="30">
        <f>SUM(D6:D12)</f>
        <v>143421.97377119269</v>
      </c>
      <c r="E5" s="17">
        <f>SUM(E6:E12)</f>
        <v>1079.285822439514</v>
      </c>
      <c r="F5" s="17">
        <f>SUM(F6:F12)</f>
        <v>17929.360485091282</v>
      </c>
      <c r="G5" s="18"/>
      <c r="H5" s="17"/>
      <c r="I5" s="17"/>
      <c r="J5" s="17">
        <f>SUM(J6:J12)</f>
        <v>0</v>
      </c>
      <c r="K5" s="17"/>
      <c r="L5" s="17"/>
      <c r="M5" s="17"/>
      <c r="N5" s="17">
        <f>SUM(N6:N12)</f>
        <v>9915.4609040300384</v>
      </c>
      <c r="O5" s="17">
        <f>B38*B39*B40</f>
        <v>14.070000000000002</v>
      </c>
      <c r="P5" s="17">
        <f>B46*B47*B48/1000-B46*B47*B48/1000/B49</f>
        <v>209.73333333333335</v>
      </c>
      <c r="R5" s="32"/>
    </row>
    <row r="6" spans="1:18">
      <c r="A6" s="32" t="s">
        <v>54</v>
      </c>
      <c r="B6" s="37">
        <f>B26</f>
        <v>30634.7</v>
      </c>
      <c r="C6" s="33"/>
      <c r="D6" s="37">
        <f>IF(ISERROR(TER_kantoor_gas_kWh/1000),0,TER_kantoor_gas_kWh/1000)*0.902</f>
        <v>39243.274727004966</v>
      </c>
      <c r="E6" s="33">
        <f>$C$26*'E Balans VL '!I12/100/3.6*1000000</f>
        <v>88.753220647811943</v>
      </c>
      <c r="F6" s="33">
        <f>$C$26*('E Balans VL '!L12+'E Balans VL '!N12)/100/3.6*1000000</f>
        <v>3467.1731052297237</v>
      </c>
      <c r="G6" s="34"/>
      <c r="H6" s="33"/>
      <c r="I6" s="33"/>
      <c r="J6" s="33">
        <f>$C$26*('E Balans VL '!D12+'E Balans VL '!E12)/100/3.6*1000000</f>
        <v>0</v>
      </c>
      <c r="K6" s="33"/>
      <c r="L6" s="33"/>
      <c r="M6" s="33"/>
      <c r="N6" s="33">
        <f>$C$26*'E Balans VL '!Y12/100/3.6*1000000</f>
        <v>306.63077434519869</v>
      </c>
      <c r="O6" s="33"/>
      <c r="P6" s="33"/>
      <c r="R6" s="32"/>
    </row>
    <row r="7" spans="1:18">
      <c r="A7" s="32" t="s">
        <v>53</v>
      </c>
      <c r="B7" s="37">
        <f t="shared" ref="B7:B12" si="0">B27</f>
        <v>9687.5990000000002</v>
      </c>
      <c r="C7" s="33"/>
      <c r="D7" s="37">
        <f>IF(ISERROR(TER_horeca_gas_kWh/1000),0,TER_horeca_gas_kWh/1000)*0.902</f>
        <v>9616.0847690994233</v>
      </c>
      <c r="E7" s="33">
        <f>$C$27*'E Balans VL '!I9/100/3.6*1000000</f>
        <v>406.6583394033342</v>
      </c>
      <c r="F7" s="33">
        <f>$C$27*('E Balans VL '!L9+'E Balans VL '!N9)/100/3.6*1000000</f>
        <v>2081.5793080781555</v>
      </c>
      <c r="G7" s="34"/>
      <c r="H7" s="33"/>
      <c r="I7" s="33"/>
      <c r="J7" s="33">
        <f>$C$27*('E Balans VL '!D9+'E Balans VL '!E9)/100/3.6*1000000</f>
        <v>0</v>
      </c>
      <c r="K7" s="33"/>
      <c r="L7" s="33"/>
      <c r="M7" s="33"/>
      <c r="N7" s="33">
        <f>$C$27*'E Balans VL '!Y9/100/3.6*1000000</f>
        <v>2.4964095411732909</v>
      </c>
      <c r="O7" s="33"/>
      <c r="P7" s="33"/>
      <c r="R7" s="32"/>
    </row>
    <row r="8" spans="1:18">
      <c r="A8" s="6" t="s">
        <v>52</v>
      </c>
      <c r="B8" s="37">
        <f t="shared" si="0"/>
        <v>42820.1</v>
      </c>
      <c r="C8" s="33"/>
      <c r="D8" s="37">
        <f>IF(ISERROR(TER_handel_gas_kWh/1000),0,TER_handel_gas_kWh/1000)*0.902</f>
        <v>28092.295934160818</v>
      </c>
      <c r="E8" s="33">
        <f>$C$28*'E Balans VL '!I13/100/3.6*1000000</f>
        <v>459.92351215615861</v>
      </c>
      <c r="F8" s="33">
        <f>$C$28*('E Balans VL '!L13+'E Balans VL '!N13)/100/3.6*1000000</f>
        <v>5543.4155460963857</v>
      </c>
      <c r="G8" s="34"/>
      <c r="H8" s="33"/>
      <c r="I8" s="33"/>
      <c r="J8" s="33">
        <f>$C$28*('E Balans VL '!D13+'E Balans VL '!E13)/100/3.6*1000000</f>
        <v>0</v>
      </c>
      <c r="K8" s="33"/>
      <c r="L8" s="33"/>
      <c r="M8" s="33"/>
      <c r="N8" s="33">
        <f>$C$28*'E Balans VL '!Y13/100/3.6*1000000</f>
        <v>347.35898927911853</v>
      </c>
      <c r="O8" s="33"/>
      <c r="P8" s="33"/>
      <c r="R8" s="32"/>
    </row>
    <row r="9" spans="1:18">
      <c r="A9" s="32" t="s">
        <v>51</v>
      </c>
      <c r="B9" s="37">
        <f t="shared" si="0"/>
        <v>17496.288</v>
      </c>
      <c r="C9" s="33"/>
      <c r="D9" s="37">
        <f>IF(ISERROR(TER_gezond_gas_kWh/1000),0,TER_gezond_gas_kWh/1000)*0.902</f>
        <v>28974.889807890246</v>
      </c>
      <c r="E9" s="33">
        <f>$C$29*'E Balans VL '!I10/100/3.6*1000000</f>
        <v>13.928176877590586</v>
      </c>
      <c r="F9" s="33">
        <f>$C$29*('E Balans VL '!L10+'E Balans VL '!N10)/100/3.6*1000000</f>
        <v>2126.9266505353735</v>
      </c>
      <c r="G9" s="34"/>
      <c r="H9" s="33"/>
      <c r="I9" s="33"/>
      <c r="J9" s="33">
        <f>$C$29*('E Balans VL '!D10+'E Balans VL '!E10)/100/3.6*1000000</f>
        <v>0</v>
      </c>
      <c r="K9" s="33"/>
      <c r="L9" s="33"/>
      <c r="M9" s="33"/>
      <c r="N9" s="33">
        <f>$C$29*'E Balans VL '!Y10/100/3.6*1000000</f>
        <v>141.33037912705319</v>
      </c>
      <c r="O9" s="33"/>
      <c r="P9" s="33"/>
      <c r="R9" s="32"/>
    </row>
    <row r="10" spans="1:18">
      <c r="A10" s="32" t="s">
        <v>50</v>
      </c>
      <c r="B10" s="37">
        <f t="shared" si="0"/>
        <v>12051.573</v>
      </c>
      <c r="C10" s="33"/>
      <c r="D10" s="37">
        <f>IF(ISERROR(TER_ander_gas_kWh/1000),0,TER_ander_gas_kWh/1000)*0.902</f>
        <v>17322.961261735272</v>
      </c>
      <c r="E10" s="33">
        <f>$C$30*'E Balans VL '!I14/100/3.6*1000000</f>
        <v>41.301373779489801</v>
      </c>
      <c r="F10" s="33">
        <f>$C$30*('E Balans VL '!L14+'E Balans VL '!N14)/100/3.6*1000000</f>
        <v>2691.8316899603751</v>
      </c>
      <c r="G10" s="34"/>
      <c r="H10" s="33"/>
      <c r="I10" s="33"/>
      <c r="J10" s="33">
        <f>$C$30*('E Balans VL '!D14+'E Balans VL '!E14)/100/3.6*1000000</f>
        <v>0</v>
      </c>
      <c r="K10" s="33"/>
      <c r="L10" s="33"/>
      <c r="M10" s="33"/>
      <c r="N10" s="33">
        <f>$C$30*'E Balans VL '!Y14/100/3.6*1000000</f>
        <v>8489.1938576563734</v>
      </c>
      <c r="O10" s="33"/>
      <c r="P10" s="33"/>
      <c r="R10" s="32"/>
    </row>
    <row r="11" spans="1:18">
      <c r="A11" s="32" t="s">
        <v>55</v>
      </c>
      <c r="B11" s="37">
        <f t="shared" si="0"/>
        <v>3584.8049999999998</v>
      </c>
      <c r="C11" s="33"/>
      <c r="D11" s="37">
        <f>IF(ISERROR(TER_onderwijs_gas_kWh/1000),0,TER_onderwijs_gas_kWh/1000)*0.902</f>
        <v>9697.2073002024408</v>
      </c>
      <c r="E11" s="33">
        <f>$C$31*'E Balans VL '!I11/100/3.6*1000000</f>
        <v>2.4780652931948772</v>
      </c>
      <c r="F11" s="33">
        <f>$C$31*('E Balans VL '!L11+'E Balans VL '!N11)/100/3.6*1000000</f>
        <v>938.39781748024336</v>
      </c>
      <c r="G11" s="34"/>
      <c r="H11" s="33"/>
      <c r="I11" s="33"/>
      <c r="J11" s="33">
        <f>$C$31*('E Balans VL '!D11+'E Balans VL '!E11)/100/3.6*1000000</f>
        <v>0</v>
      </c>
      <c r="K11" s="33"/>
      <c r="L11" s="33"/>
      <c r="M11" s="33"/>
      <c r="N11" s="33">
        <f>$C$31*'E Balans VL '!Y11/100/3.6*1000000</f>
        <v>3.5683680476283524</v>
      </c>
      <c r="O11" s="33"/>
      <c r="P11" s="33"/>
      <c r="R11" s="32"/>
    </row>
    <row r="12" spans="1:18">
      <c r="A12" s="32" t="s">
        <v>260</v>
      </c>
      <c r="B12" s="37">
        <f t="shared" si="0"/>
        <v>7326.848</v>
      </c>
      <c r="C12" s="33"/>
      <c r="D12" s="37">
        <f>IF(ISERROR(TER_rest_gas_kWh/1000),0,TER_rest_gas_kWh/1000)*0.902</f>
        <v>10475.259971099526</v>
      </c>
      <c r="E12" s="33">
        <f>$C$32*'E Balans VL '!I8/100/3.6*1000000</f>
        <v>66.243134281934203</v>
      </c>
      <c r="F12" s="33">
        <f>$C$32*('E Balans VL '!L8+'E Balans VL '!N8)/100/3.6*1000000</f>
        <v>1080.0363677110254</v>
      </c>
      <c r="G12" s="34"/>
      <c r="H12" s="33"/>
      <c r="I12" s="33"/>
      <c r="J12" s="33">
        <f>$C$32*('E Balans VL '!D8+'E Balans VL '!E8)/100/3.6*1000000</f>
        <v>0</v>
      </c>
      <c r="K12" s="33"/>
      <c r="L12" s="33"/>
      <c r="M12" s="33"/>
      <c r="N12" s="33">
        <f>$C$32*'E Balans VL '!Y8/100/3.6*1000000</f>
        <v>624.88212603349109</v>
      </c>
      <c r="O12" s="33"/>
      <c r="P12" s="33"/>
      <c r="R12" s="32"/>
    </row>
    <row r="13" spans="1:18">
      <c r="A13" s="16" t="s">
        <v>494</v>
      </c>
      <c r="B13" s="247">
        <f ca="1">'lokale energieproductie'!N90+'lokale energieproductie'!N59</f>
        <v>47.25</v>
      </c>
      <c r="C13" s="247">
        <f ca="1">'lokale energieproductie'!O90+'lokale energieproductie'!O59</f>
        <v>67.5</v>
      </c>
      <c r="D13" s="310">
        <f ca="1">('lokale energieproductie'!P59+'lokale energieproductie'!P90)*(-1)</f>
        <v>-135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123649.163</v>
      </c>
      <c r="C16" s="21">
        <f t="shared" ca="1" si="1"/>
        <v>67.5</v>
      </c>
      <c r="D16" s="21">
        <f t="shared" ca="1" si="1"/>
        <v>143286.97377119269</v>
      </c>
      <c r="E16" s="21">
        <f t="shared" si="1"/>
        <v>1079.285822439514</v>
      </c>
      <c r="F16" s="21">
        <f t="shared" ca="1" si="1"/>
        <v>17929.360485091282</v>
      </c>
      <c r="G16" s="21">
        <f t="shared" si="1"/>
        <v>0</v>
      </c>
      <c r="H16" s="21">
        <f t="shared" si="1"/>
        <v>0</v>
      </c>
      <c r="I16" s="21">
        <f t="shared" si="1"/>
        <v>0</v>
      </c>
      <c r="J16" s="21">
        <f t="shared" si="1"/>
        <v>0</v>
      </c>
      <c r="K16" s="21">
        <f t="shared" si="1"/>
        <v>0</v>
      </c>
      <c r="L16" s="21">
        <f t="shared" ca="1" si="1"/>
        <v>0</v>
      </c>
      <c r="M16" s="21">
        <f t="shared" si="1"/>
        <v>0</v>
      </c>
      <c r="N16" s="21">
        <f t="shared" ca="1" si="1"/>
        <v>9915.4609040300384</v>
      </c>
      <c r="O16" s="21">
        <f>O5</f>
        <v>14.070000000000002</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0.20600335824945001</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25472.14282273364</v>
      </c>
      <c r="C20" s="23">
        <f t="shared" ref="C20:P20" ca="1" si="2">C16*C18</f>
        <v>16.041176470588233</v>
      </c>
      <c r="D20" s="23">
        <f t="shared" ca="1" si="2"/>
        <v>28943.968701780923</v>
      </c>
      <c r="E20" s="23">
        <f t="shared" si="2"/>
        <v>244.9978816937697</v>
      </c>
      <c r="F20" s="23">
        <f t="shared" ca="1" si="2"/>
        <v>4787.1392495193722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30634.7</v>
      </c>
      <c r="C26" s="39">
        <f>IF(ISERROR(B26*3.6/1000000/'E Balans VL '!Z12*100),0,B26*3.6/1000000/'E Balans VL '!Z12*100)</f>
        <v>0.67292660275978666</v>
      </c>
      <c r="D26" s="237" t="s">
        <v>692</v>
      </c>
      <c r="F26" s="6"/>
    </row>
    <row r="27" spans="1:18">
      <c r="A27" s="231" t="s">
        <v>53</v>
      </c>
      <c r="B27" s="33">
        <f>IF(ISERROR(TER_horeca_ele_kWh/1000),0,TER_horeca_ele_kWh/1000)</f>
        <v>9687.5990000000002</v>
      </c>
      <c r="C27" s="39">
        <f>IF(ISERROR(B27*3.6/1000000/'E Balans VL '!Z9*100),0,B27*3.6/1000000/'E Balans VL '!Z9*100)</f>
        <v>0.77849514677739406</v>
      </c>
      <c r="D27" s="237" t="s">
        <v>692</v>
      </c>
      <c r="F27" s="6"/>
    </row>
    <row r="28" spans="1:18">
      <c r="A28" s="171" t="s">
        <v>52</v>
      </c>
      <c r="B28" s="33">
        <f>IF(ISERROR(TER_handel_ele_kWh/1000),0,TER_handel_ele_kWh/1000)</f>
        <v>42820.1</v>
      </c>
      <c r="C28" s="39">
        <f>IF(ISERROR(B28*3.6/1000000/'E Balans VL '!Z13*100),0,B28*3.6/1000000/'E Balans VL '!Z13*100)</f>
        <v>1.2661604422500325</v>
      </c>
      <c r="D28" s="237" t="s">
        <v>692</v>
      </c>
      <c r="F28" s="6"/>
    </row>
    <row r="29" spans="1:18">
      <c r="A29" s="231" t="s">
        <v>51</v>
      </c>
      <c r="B29" s="33">
        <f>IF(ISERROR(TER_gezond_ele_kWh/1000),0,TER_gezond_ele_kWh/1000)</f>
        <v>17496.288</v>
      </c>
      <c r="C29" s="39">
        <f>IF(ISERROR(B29*3.6/1000000/'E Balans VL '!Z10*100),0,B29*3.6/1000000/'E Balans VL '!Z10*100)</f>
        <v>1.9713799432625592</v>
      </c>
      <c r="D29" s="237" t="s">
        <v>692</v>
      </c>
      <c r="F29" s="6"/>
    </row>
    <row r="30" spans="1:18">
      <c r="A30" s="231" t="s">
        <v>50</v>
      </c>
      <c r="B30" s="33">
        <f>IF(ISERROR(TER_ander_ele_kWh/1000),0,TER_ander_ele_kWh/1000)</f>
        <v>12051.573</v>
      </c>
      <c r="C30" s="39">
        <f>IF(ISERROR(B30*3.6/1000000/'E Balans VL '!Z14*100),0,B30*3.6/1000000/'E Balans VL '!Z14*100)</f>
        <v>0.91143986475651551</v>
      </c>
      <c r="D30" s="237" t="s">
        <v>692</v>
      </c>
      <c r="F30" s="6"/>
    </row>
    <row r="31" spans="1:18">
      <c r="A31" s="231" t="s">
        <v>55</v>
      </c>
      <c r="B31" s="33">
        <f>IF(ISERROR(TER_onderwijs_ele_kWh/1000),0,TER_onderwijs_ele_kWh/1000)</f>
        <v>3584.8049999999998</v>
      </c>
      <c r="C31" s="39">
        <f>IF(ISERROR(B31*3.6/1000000/'E Balans VL '!Z11*100),0,B31*3.6/1000000/'E Balans VL '!Z11*100)</f>
        <v>0.74412230032449511</v>
      </c>
      <c r="D31" s="237" t="s">
        <v>692</v>
      </c>
    </row>
    <row r="32" spans="1:18">
      <c r="A32" s="231" t="s">
        <v>260</v>
      </c>
      <c r="B32" s="33">
        <f>IF(ISERROR(TER_rest_ele_kWh/1000),0,TER_rest_ele_kWh/1000)</f>
        <v>7326.848</v>
      </c>
      <c r="C32" s="39">
        <f>IF(ISERROR(B32*3.6/1000000/'E Balans VL '!Z8*100),0,B32*3.6/1000000/'E Balans VL '!Z8*100)</f>
        <v>6.1724384161286304E-2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74853.882339999982</v>
      </c>
      <c r="C5" s="17">
        <f>IF(ISERROR('Eigen informatie GS &amp; warmtenet'!B59),0,'Eigen informatie GS &amp; warmtenet'!B59)</f>
        <v>0</v>
      </c>
      <c r="D5" s="30">
        <f>SUM(D6:D15)</f>
        <v>54694.591257620174</v>
      </c>
      <c r="E5" s="17">
        <f>SUM(E6:E15)</f>
        <v>3854.5849283562243</v>
      </c>
      <c r="F5" s="17">
        <f>SUM(F6:F15)</f>
        <v>42603.734094813059</v>
      </c>
      <c r="G5" s="18"/>
      <c r="H5" s="17"/>
      <c r="I5" s="17"/>
      <c r="J5" s="17">
        <f>SUM(J6:J15)</f>
        <v>479.03058691467027</v>
      </c>
      <c r="K5" s="17"/>
      <c r="L5" s="17"/>
      <c r="M5" s="17"/>
      <c r="N5" s="17">
        <f>SUM(N6:N15)</f>
        <v>17019.070336547127</v>
      </c>
      <c r="O5" s="17">
        <f>B43*B44*B45</f>
        <v>0</v>
      </c>
      <c r="P5" s="17">
        <f>B51*B52*B53/1000-B51*B52*B53/1000/B54</f>
        <v>0</v>
      </c>
      <c r="R5" s="32"/>
    </row>
    <row r="6" spans="1:18">
      <c r="A6" s="6" t="s">
        <v>35</v>
      </c>
      <c r="B6" s="37">
        <f>IF( ISERROR(IND_ijzer_ele_kWh/1000),0,IND_ijzer_ele_kWh/1000)</f>
        <v>18.343439999999998</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11987.23</v>
      </c>
      <c r="C8" s="33"/>
      <c r="D8" s="37">
        <f>IF( ISERROR(IND_metaal_Gas_kWH/1000),0,IND_metaal_Gas_kWH/1000)*0.902</f>
        <v>7877.1527573209351</v>
      </c>
      <c r="E8" s="33">
        <f>C30*'E Balans VL '!I18/100/3.6*1000000</f>
        <v>299.99841249381461</v>
      </c>
      <c r="F8" s="33">
        <f>C30*'E Balans VL '!L18/100/3.6*1000000+C30*'E Balans VL '!N18/100/3.6*1000000</f>
        <v>3756.857509548543</v>
      </c>
      <c r="G8" s="34"/>
      <c r="H8" s="33"/>
      <c r="I8" s="33"/>
      <c r="J8" s="40">
        <f>C30*'E Balans VL '!D18/100/3.6*1000000+C30*'E Balans VL '!E18/100/3.6*1000000</f>
        <v>0</v>
      </c>
      <c r="K8" s="33"/>
      <c r="L8" s="33"/>
      <c r="M8" s="33"/>
      <c r="N8" s="33">
        <f>C30*'E Balans VL '!Y18/100/3.6*1000000</f>
        <v>301.15032717462583</v>
      </c>
      <c r="O8" s="33"/>
      <c r="P8" s="33"/>
      <c r="R8" s="32"/>
    </row>
    <row r="9" spans="1:18">
      <c r="A9" s="6" t="s">
        <v>33</v>
      </c>
      <c r="B9" s="37">
        <f t="shared" si="0"/>
        <v>5740.0429999999997</v>
      </c>
      <c r="C9" s="33"/>
      <c r="D9" s="37">
        <f>IF( ISERROR(IND_andere_gas_kWh/1000),0,IND_andere_gas_kWh/1000)*0.902</f>
        <v>5336.823120803565</v>
      </c>
      <c r="E9" s="33">
        <f>C31*'E Balans VL '!I19/100/3.6*1000000</f>
        <v>1578.2763968172419</v>
      </c>
      <c r="F9" s="33">
        <f>C31*'E Balans VL '!L19/100/3.6*1000000+C31*'E Balans VL '!N19/100/3.6*1000000</f>
        <v>4524.1527231966165</v>
      </c>
      <c r="G9" s="34"/>
      <c r="H9" s="33"/>
      <c r="I9" s="33"/>
      <c r="J9" s="40">
        <f>C31*'E Balans VL '!D19/100/3.6*1000000+C31*'E Balans VL '!E19/100/3.6*1000000</f>
        <v>0</v>
      </c>
      <c r="K9" s="33"/>
      <c r="L9" s="33"/>
      <c r="M9" s="33"/>
      <c r="N9" s="33">
        <f>C31*'E Balans VL '!Y19/100/3.6*1000000</f>
        <v>1858.2034308813477</v>
      </c>
      <c r="O9" s="33"/>
      <c r="P9" s="33"/>
      <c r="R9" s="32"/>
    </row>
    <row r="10" spans="1:18">
      <c r="A10" s="6" t="s">
        <v>41</v>
      </c>
      <c r="B10" s="37">
        <f t="shared" si="0"/>
        <v>13748.856</v>
      </c>
      <c r="C10" s="33"/>
      <c r="D10" s="37">
        <f>IF( ISERROR(IND_voed_gas_kWh/1000),0,IND_voed_gas_kWh/1000)*0.902</f>
        <v>7192.1098059276546</v>
      </c>
      <c r="E10" s="33">
        <f>C32*'E Balans VL '!I20/100/3.6*1000000</f>
        <v>140.16201263201054</v>
      </c>
      <c r="F10" s="33">
        <f>C32*'E Balans VL '!L20/100/3.6*1000000+C32*'E Balans VL '!N20/100/3.6*1000000</f>
        <v>25971.502993206501</v>
      </c>
      <c r="G10" s="34"/>
      <c r="H10" s="33"/>
      <c r="I10" s="33"/>
      <c r="J10" s="40">
        <f>C32*'E Balans VL '!D20/100/3.6*1000000+C32*'E Balans VL '!E20/100/3.6*1000000</f>
        <v>329.05511054050362</v>
      </c>
      <c r="K10" s="33"/>
      <c r="L10" s="33"/>
      <c r="M10" s="33"/>
      <c r="N10" s="33">
        <f>C32*'E Balans VL '!Y20/100/3.6*1000000</f>
        <v>7247.230786015446</v>
      </c>
      <c r="O10" s="33"/>
      <c r="P10" s="33"/>
      <c r="R10" s="32"/>
    </row>
    <row r="11" spans="1:18">
      <c r="A11" s="6" t="s">
        <v>40</v>
      </c>
      <c r="B11" s="37">
        <f t="shared" si="0"/>
        <v>3358.2869999999998</v>
      </c>
      <c r="C11" s="33"/>
      <c r="D11" s="37">
        <f>IF( ISERROR(IND_textiel_gas_kWh/1000),0,IND_textiel_gas_kWh/1000)*0.902</f>
        <v>581.85747577791892</v>
      </c>
      <c r="E11" s="33">
        <f>C33*'E Balans VL '!I21/100/3.6*1000000</f>
        <v>8.9011034827786126</v>
      </c>
      <c r="F11" s="33">
        <f>C33*'E Balans VL '!L21/100/3.6*1000000+C33*'E Balans VL '!N21/100/3.6*1000000</f>
        <v>149.98456175100139</v>
      </c>
      <c r="G11" s="34"/>
      <c r="H11" s="33"/>
      <c r="I11" s="33"/>
      <c r="J11" s="40">
        <f>C33*'E Balans VL '!D21/100/3.6*1000000+C33*'E Balans VL '!E21/100/3.6*1000000</f>
        <v>0</v>
      </c>
      <c r="K11" s="33"/>
      <c r="L11" s="33"/>
      <c r="M11" s="33"/>
      <c r="N11" s="33">
        <f>C33*'E Balans VL '!Y21/100/3.6*1000000</f>
        <v>31.649454330032697</v>
      </c>
      <c r="O11" s="33"/>
      <c r="P11" s="33"/>
      <c r="R11" s="32"/>
    </row>
    <row r="12" spans="1:18">
      <c r="A12" s="6" t="s">
        <v>37</v>
      </c>
      <c r="B12" s="37">
        <f t="shared" si="0"/>
        <v>228.3339</v>
      </c>
      <c r="C12" s="33"/>
      <c r="D12" s="37">
        <f>IF( ISERROR(IND_min_gas_kWh/1000),0,IND_min_gas_kWh/1000)*0.902</f>
        <v>0</v>
      </c>
      <c r="E12" s="33">
        <f>C34*'E Balans VL '!I22/100/3.6*1000000</f>
        <v>0.69152009559066119</v>
      </c>
      <c r="F12" s="33">
        <f>C34*'E Balans VL '!L22/100/3.6*1000000+C34*'E Balans VL '!N22/100/3.6*1000000</f>
        <v>7.1356306818978261</v>
      </c>
      <c r="G12" s="34"/>
      <c r="H12" s="33"/>
      <c r="I12" s="33"/>
      <c r="J12" s="40">
        <f>C34*'E Balans VL '!D22/100/3.6*1000000+C34*'E Balans VL '!E22/100/3.6*1000000</f>
        <v>0.3385684861860786</v>
      </c>
      <c r="K12" s="33"/>
      <c r="L12" s="33"/>
      <c r="M12" s="33"/>
      <c r="N12" s="33">
        <f>C34*'E Balans VL '!Y22/100/3.6*1000000</f>
        <v>0</v>
      </c>
      <c r="O12" s="33"/>
      <c r="P12" s="33"/>
      <c r="R12" s="32"/>
    </row>
    <row r="13" spans="1:18">
      <c r="A13" s="6" t="s">
        <v>39</v>
      </c>
      <c r="B13" s="37">
        <f t="shared" si="0"/>
        <v>1997.596</v>
      </c>
      <c r="C13" s="33"/>
      <c r="D13" s="37">
        <f>IF( ISERROR(IND_papier_gas_kWh/1000),0,IND_papier_gas_kWh/1000)*0.902</f>
        <v>1191.0739515282626</v>
      </c>
      <c r="E13" s="33">
        <f>C35*'E Balans VL '!I23/100/3.6*1000000</f>
        <v>4.1371561504832428</v>
      </c>
      <c r="F13" s="33">
        <f>C35*'E Balans VL '!L23/100/3.6*1000000+C35*'E Balans VL '!N23/100/3.6*1000000</f>
        <v>39.61661118544712</v>
      </c>
      <c r="G13" s="34"/>
      <c r="H13" s="33"/>
      <c r="I13" s="33"/>
      <c r="J13" s="40">
        <f>C35*'E Balans VL '!D23/100/3.6*1000000+C35*'E Balans VL '!E23/100/3.6*1000000</f>
        <v>0</v>
      </c>
      <c r="K13" s="33"/>
      <c r="L13" s="33"/>
      <c r="M13" s="33"/>
      <c r="N13" s="33">
        <f>C35*'E Balans VL '!Y23/100/3.6*1000000</f>
        <v>843.48065368396112</v>
      </c>
      <c r="O13" s="33"/>
      <c r="P13" s="33"/>
      <c r="R13" s="32"/>
    </row>
    <row r="14" spans="1:18">
      <c r="A14" s="6" t="s">
        <v>34</v>
      </c>
      <c r="B14" s="37">
        <f t="shared" si="0"/>
        <v>2107.7020000000002</v>
      </c>
      <c r="C14" s="33"/>
      <c r="D14" s="37">
        <f>IF( ISERROR(IND_chemie_gas_kWh/1000),0,IND_chemie_gas_kWh/1000)*0.902</f>
        <v>3131.9800890072079</v>
      </c>
      <c r="E14" s="33">
        <f>C36*'E Balans VL '!I24/100/3.6*1000000</f>
        <v>7.9021211845168144</v>
      </c>
      <c r="F14" s="33">
        <f>C36*'E Balans VL '!L24/100/3.6*1000000+C36*'E Balans VL '!N24/100/3.6*1000000</f>
        <v>24.520904990172554</v>
      </c>
      <c r="G14" s="34"/>
      <c r="H14" s="33"/>
      <c r="I14" s="33"/>
      <c r="J14" s="40">
        <f>C36*'E Balans VL '!D24/100/3.6*1000000+C36*'E Balans VL '!E24/100/3.6*1000000</f>
        <v>0</v>
      </c>
      <c r="K14" s="33"/>
      <c r="L14" s="33"/>
      <c r="M14" s="33"/>
      <c r="N14" s="33">
        <f>C36*'E Balans VL '!Y24/100/3.6*1000000</f>
        <v>36.009077142696135</v>
      </c>
      <c r="O14" s="33"/>
      <c r="P14" s="33"/>
      <c r="R14" s="32"/>
    </row>
    <row r="15" spans="1:18">
      <c r="A15" s="6" t="s">
        <v>270</v>
      </c>
      <c r="B15" s="37">
        <f t="shared" si="0"/>
        <v>35667.491000000002</v>
      </c>
      <c r="C15" s="33"/>
      <c r="D15" s="37">
        <f>IF( ISERROR(IND_rest_gas_kWh/1000),0,IND_rest_gas_kWh/1000)*0.902</f>
        <v>29383.594057254628</v>
      </c>
      <c r="E15" s="33">
        <f>C37*'E Balans VL '!I15/100/3.6*1000000</f>
        <v>1814.5162054997879</v>
      </c>
      <c r="F15" s="33">
        <f>C37*'E Balans VL '!L15/100/3.6*1000000+C37*'E Balans VL '!N15/100/3.6*1000000</f>
        <v>8129.9631602528716</v>
      </c>
      <c r="G15" s="34"/>
      <c r="H15" s="33"/>
      <c r="I15" s="33"/>
      <c r="J15" s="40">
        <f>C37*'E Balans VL '!D15/100/3.6*1000000+C37*'E Balans VL '!E15/100/3.6*1000000</f>
        <v>149.63690788798053</v>
      </c>
      <c r="K15" s="33"/>
      <c r="L15" s="33"/>
      <c r="M15" s="33"/>
      <c r="N15" s="33">
        <f>C37*'E Balans VL '!Y15/100/3.6*1000000</f>
        <v>6701.3466073190166</v>
      </c>
      <c r="O15" s="33"/>
      <c r="P15" s="33"/>
      <c r="R15" s="32"/>
    </row>
    <row r="16" spans="1:18">
      <c r="A16" s="16" t="s">
        <v>494</v>
      </c>
      <c r="B16" s="247">
        <f>'lokale energieproductie'!N89+'lokale energieproductie'!N58</f>
        <v>643.5</v>
      </c>
      <c r="C16" s="247">
        <f>'lokale energieproductie'!O89+'lokale energieproductie'!O58</f>
        <v>919.28571428571433</v>
      </c>
      <c r="D16" s="310">
        <f>('lokale energieproductie'!P58+'lokale energieproductie'!P89)*(-1)</f>
        <v>-1838.5714285714287</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75497.382339999982</v>
      </c>
      <c r="C18" s="21">
        <f>C5+C16</f>
        <v>919.28571428571433</v>
      </c>
      <c r="D18" s="21">
        <f>MAX((D5+D16),0)</f>
        <v>52856.019829048746</v>
      </c>
      <c r="E18" s="21">
        <f>MAX((E5+E16),0)</f>
        <v>3854.5849283562243</v>
      </c>
      <c r="F18" s="21">
        <f>MAX((F5+F16),0)</f>
        <v>42603.734094813059</v>
      </c>
      <c r="G18" s="21"/>
      <c r="H18" s="21"/>
      <c r="I18" s="21"/>
      <c r="J18" s="21">
        <f>MAX((J5+J16),0)</f>
        <v>479.03058691467027</v>
      </c>
      <c r="K18" s="21"/>
      <c r="L18" s="21">
        <f>MAX((L5+L16),0)</f>
        <v>0</v>
      </c>
      <c r="M18" s="21"/>
      <c r="N18" s="21">
        <f>MAX((N5+N16),0)</f>
        <v>17019.070336547127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0.20600335824945001</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15552.714301082717</v>
      </c>
      <c r="C22" s="23">
        <f ca="1">C18*C20</f>
        <v>218.46554621848739</v>
      </c>
      <c r="D22" s="23">
        <f>D18*D20</f>
        <v>10676.916005467847</v>
      </c>
      <c r="E22" s="23">
        <f>E18*E20</f>
        <v>874.99077873686292</v>
      </c>
      <c r="F22" s="23">
        <f>F18*F20</f>
        <v>11375.197003315086</v>
      </c>
      <c r="G22" s="23"/>
      <c r="H22" s="23"/>
      <c r="I22" s="23"/>
      <c r="J22" s="23">
        <f>J18*J20</f>
        <v>169.57682776779328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11987.23</v>
      </c>
      <c r="C30" s="39">
        <f>IF(ISERROR(B30*3.6/1000000/'E Balans VL '!Z18*100),0,B30*3.6/1000000/'E Balans VL '!Z18*100)</f>
        <v>1.6778127211470852</v>
      </c>
      <c r="D30" s="237" t="s">
        <v>692</v>
      </c>
    </row>
    <row r="31" spans="1:18">
      <c r="A31" s="6" t="s">
        <v>33</v>
      </c>
      <c r="B31" s="37">
        <f>IF( ISERROR(IND_ander_ele_kWh/1000),0,IND_ander_ele_kWh/1000)</f>
        <v>5740.0429999999997</v>
      </c>
      <c r="C31" s="39">
        <f>IF(ISERROR(B31*3.6/1000000/'E Balans VL '!Z19*100),0,B31*3.6/1000000/'E Balans VL '!Z19*100)</f>
        <v>0.25124075094273041</v>
      </c>
      <c r="D31" s="237" t="s">
        <v>692</v>
      </c>
    </row>
    <row r="32" spans="1:18">
      <c r="A32" s="171" t="s">
        <v>41</v>
      </c>
      <c r="B32" s="37">
        <f>IF( ISERROR(IND_voed_ele_kWh/1000),0,IND_voed_ele_kWh/1000)</f>
        <v>13748.856</v>
      </c>
      <c r="C32" s="39">
        <f>IF(ISERROR(B32*3.6/1000000/'E Balans VL '!Z20*100),0,B32*3.6/1000000/'E Balans VL '!Z20*100)</f>
        <v>3.4037601686131196</v>
      </c>
      <c r="D32" s="237" t="s">
        <v>692</v>
      </c>
    </row>
    <row r="33" spans="1:5">
      <c r="A33" s="171" t="s">
        <v>40</v>
      </c>
      <c r="B33" s="37">
        <f>IF( ISERROR(IND_textiel_ele_kWh/1000),0,IND_textiel_ele_kWh/1000)</f>
        <v>3358.2869999999998</v>
      </c>
      <c r="C33" s="39">
        <f>IF(ISERROR(B33*3.6/1000000/'E Balans VL '!Z21*100),0,B33*3.6/1000000/'E Balans VL '!Z21*100)</f>
        <v>0.37841978812948229</v>
      </c>
      <c r="D33" s="237" t="s">
        <v>692</v>
      </c>
    </row>
    <row r="34" spans="1:5">
      <c r="A34" s="171" t="s">
        <v>37</v>
      </c>
      <c r="B34" s="37">
        <f>IF( ISERROR(IND_min_ele_kWh/1000),0,IND_min_ele_kWh/1000)</f>
        <v>228.3339</v>
      </c>
      <c r="C34" s="39">
        <f>IF(ISERROR(B34*3.6/1000000/'E Balans VL '!Z22*100),0,B34*3.6/1000000/'E Balans VL '!Z22*100)</f>
        <v>6.4791845297537676E-3</v>
      </c>
      <c r="D34" s="237" t="s">
        <v>692</v>
      </c>
    </row>
    <row r="35" spans="1:5">
      <c r="A35" s="171" t="s">
        <v>39</v>
      </c>
      <c r="B35" s="37">
        <f>IF( ISERROR(IND_papier_ele_kWh/1000),0,IND_papier_ele_kWh/1000)</f>
        <v>1997.596</v>
      </c>
      <c r="C35" s="39">
        <f>IF(ISERROR(B35*3.6/1000000/'E Balans VL '!Z22*100),0,B35*3.6/1000000/'E Balans VL '!Z22*100)</f>
        <v>5.6683624726324072E-2</v>
      </c>
      <c r="D35" s="237" t="s">
        <v>692</v>
      </c>
    </row>
    <row r="36" spans="1:5">
      <c r="A36" s="171" t="s">
        <v>34</v>
      </c>
      <c r="B36" s="37">
        <f>IF( ISERROR(IND_chemie_ele_kWh/1000),0,IND_chemie_ele_kWh/1000)</f>
        <v>2107.7020000000002</v>
      </c>
      <c r="C36" s="39">
        <f>IF(ISERROR(B36*3.6/1000000/'E Balans VL '!Z24*100),0,B36*3.6/1000000/'E Balans VL '!Z24*100)</f>
        <v>5.3743183936623258E-2</v>
      </c>
      <c r="D36" s="237" t="s">
        <v>692</v>
      </c>
    </row>
    <row r="37" spans="1:5">
      <c r="A37" s="171" t="s">
        <v>270</v>
      </c>
      <c r="B37" s="37">
        <f>IF( ISERROR(IND_rest_ele_kWh/1000),0,IND_rest_ele_kWh/1000)</f>
        <v>35667.491000000002</v>
      </c>
      <c r="C37" s="39">
        <f>IF(ISERROR(B37*3.6/1000000/'E Balans VL '!Z15*100),0,B37*3.6/1000000/'E Balans VL '!Z15*100)</f>
        <v>0.26446833923213403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4025.3586</v>
      </c>
      <c r="C5" s="17">
        <f>'Eigen informatie GS &amp; warmtenet'!B60</f>
        <v>0</v>
      </c>
      <c r="D5" s="30">
        <f>IF(ISERROR(SUM(LB_lb_gas_kWh,LB_rest_gas_kWh,onbekend_gas_kWh)/1000),0,SUM(LB_lb_gas_kWh,LB_rest_gas_kWh,onbekend_gas_kWh)/1000)*0.902</f>
        <v>13911.369944845022</v>
      </c>
      <c r="E5" s="17">
        <f>B17*'E Balans VL '!I25/3.6*1000000/100</f>
        <v>37.284557328359753</v>
      </c>
      <c r="F5" s="17">
        <f>B17*('E Balans VL '!L25/3.6*1000000+'E Balans VL '!N25/3.6*1000000)/100</f>
        <v>10213.101598226363</v>
      </c>
      <c r="G5" s="18"/>
      <c r="H5" s="17"/>
      <c r="I5" s="17"/>
      <c r="J5" s="17">
        <f>('E Balans VL '!D25+'E Balans VL '!E25)/3.6*1000000*landbouw!B17/100</f>
        <v>617.13239651308845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4025.3586</v>
      </c>
      <c r="C8" s="21">
        <f>C5+C6</f>
        <v>0</v>
      </c>
      <c r="D8" s="21">
        <f>MAX((D5+D6),0)</f>
        <v>13911.369944845022</v>
      </c>
      <c r="E8" s="21">
        <f>MAX((E5+E6),0)</f>
        <v>37.284557328359753</v>
      </c>
      <c r="F8" s="21">
        <f>MAX((F5+F6),0)</f>
        <v>10213.101598226363</v>
      </c>
      <c r="G8" s="21"/>
      <c r="H8" s="21"/>
      <c r="I8" s="21"/>
      <c r="J8" s="21">
        <f>MAX((J5+J6),0)</f>
        <v>617.13239651308845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0.20600335824945001</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829.23738975830452</v>
      </c>
      <c r="C12" s="23">
        <f ca="1">C8*C10</f>
        <v>0</v>
      </c>
      <c r="D12" s="23">
        <f>D8*D10</f>
        <v>2810.0967288586949</v>
      </c>
      <c r="E12" s="23">
        <f>E8*E10</f>
        <v>8.4635945135376645</v>
      </c>
      <c r="F12" s="23">
        <f>F8*F10</f>
        <v>2726.8981267264394</v>
      </c>
      <c r="G12" s="23"/>
      <c r="H12" s="23"/>
      <c r="I12" s="23"/>
      <c r="J12" s="23">
        <f>J8*J10</f>
        <v>218.46486836563329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0.57232064056460474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675.19350978341799</v>
      </c>
      <c r="C26" s="247">
        <f>B26*'GWP N2O_CH4'!B5</f>
        <v>14179.063705451777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337.81640963121441</v>
      </c>
      <c r="C27" s="247">
        <f>B27*'GWP N2O_CH4'!B5</f>
        <v>7094.1446022555028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9.0107914363596731</v>
      </c>
      <c r="C28" s="247">
        <f>B28*'GWP N2O_CH4'!B4</f>
        <v>2793.3453452714984</v>
      </c>
      <c r="D28" s="50"/>
    </row>
    <row r="29" spans="1:4">
      <c r="A29" s="41" t="s">
        <v>277</v>
      </c>
      <c r="B29" s="247">
        <f>B34*'ha_N2O bodem landbouw'!B4</f>
        <v>25.267727542348656</v>
      </c>
      <c r="C29" s="247">
        <f>B29*'GWP N2O_CH4'!B4</f>
        <v>7832.9955381280834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5.6671061383504369E-3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2.3104497991077928E-4</v>
      </c>
      <c r="C5" s="464" t="s">
        <v>211</v>
      </c>
      <c r="D5" s="449">
        <f>SUM(D6:D11)</f>
        <v>6.8574016289760676E-4</v>
      </c>
      <c r="E5" s="449">
        <f>SUM(E6:E11)</f>
        <v>4.5535957283238098E-3</v>
      </c>
      <c r="F5" s="462" t="s">
        <v>211</v>
      </c>
      <c r="G5" s="449">
        <f>SUM(G6:G11)</f>
        <v>1.4819060702885996</v>
      </c>
      <c r="H5" s="449">
        <f>SUM(H6:H11)</f>
        <v>0.26003259101684623</v>
      </c>
      <c r="I5" s="464" t="s">
        <v>211</v>
      </c>
      <c r="J5" s="464" t="s">
        <v>211</v>
      </c>
      <c r="K5" s="464" t="s">
        <v>211</v>
      </c>
      <c r="L5" s="464" t="s">
        <v>211</v>
      </c>
      <c r="M5" s="449">
        <f>SUM(M6:M11)</f>
        <v>9.3726257000074809E-2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8.469038607621866E-5</v>
      </c>
      <c r="C6" s="450"/>
      <c r="D6" s="963">
        <f>vkm_2011_GW_PW*SUMIFS(TableVerdeelsleutelVkm[CNG],TableVerdeelsleutelVkm[Voertuigtype],"Lichte voertuigen")*SUMIFS(TableECFTransport[EnergieConsumptieFactor (PJ per km)],TableECFTransport[Index],CONCATENATE($A6,"_CNG_CNG"))</f>
        <v>1.9589818701955589E-4</v>
      </c>
      <c r="E6" s="963">
        <f>vkm_2011_GW_PW*SUMIFS(TableVerdeelsleutelVkm[LPG],TableVerdeelsleutelVkm[Voertuigtype],"Lichte voertuigen")*SUMIFS(TableECFTransport[EnergieConsumptieFactor (PJ per km)],TableECFTransport[Index],CONCATENATE($A6,"_LPG_LPG"))</f>
        <v>1.2755706942698603E-3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0.26499037471827586</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7.4695310443374588E-2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1.7627926152463197E-2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0.18211592589690434</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6.2280339277461709E-5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1.0536438593050146E-2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8.096923331603357E-5</v>
      </c>
      <c r="C8" s="450"/>
      <c r="D8" s="452">
        <f>vkm_2011_NGW_PW*SUMIFS(TableVerdeelsleutelVkm[CNG],TableVerdeelsleutelVkm[Voertuigtype],"Lichte voertuigen")*SUMIFS(TableECFTransport[EnergieConsumptieFactor (PJ per km)],TableECFTransport[Index],CONCATENATE($A8,"_CNG_CNG"))</f>
        <v>3.3126260393682929E-4</v>
      </c>
      <c r="E8" s="452">
        <f>vkm_2011_NGW_PW*SUMIFS(TableVerdeelsleutelVkm[LPG],TableVerdeelsleutelVkm[Voertuigtype],"Lichte voertuigen")*SUMIFS(TableECFTransport[EnergieConsumptieFactor (PJ per km)],TableECFTransport[Index],CONCATENATE($A8,"_LPG_LPG"))</f>
        <v>1.9906700084539445E-3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0.38658519121906759</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0.12213217972283627</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2.6121955665251162E-2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0.12257338714113356</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3.9663320260128384E-5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7.0914958164424828E-3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6.5385360518527044E-5</v>
      </c>
      <c r="C10" s="450"/>
      <c r="D10" s="452">
        <f>vkm_2011_SW_PW*SUMIFS(TableVerdeelsleutelVkm[CNG],TableVerdeelsleutelVkm[Voertuigtype],"Lichte voertuigen")*SUMIFS(TableECFTransport[EnergieConsumptieFactor (PJ per km)],TableECFTransport[Index],CONCATENATE($A10,"_CNG_CNG"))</f>
        <v>1.5857937194122158E-4</v>
      </c>
      <c r="E10" s="452">
        <f>vkm_2011_SW_PW*SUMIFS(TableVerdeelsleutelVkm[LPG],TableVerdeelsleutelVkm[Voertuigtype],"Lichte voertuigen")*SUMIFS(TableECFTransport[EnergieConsumptieFactor (PJ per km)],TableECFTransport[Index],CONCATENATE($A10,"_LPG_LPG"))</f>
        <v>1.2873550256000048E-3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0.24077235294894506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6.2998165287465643E-2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1.586693065904277E-2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0.28486883836427329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1.0499190363209648E-4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1.6481510113825055E-2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64.179161086327582</v>
      </c>
      <c r="C14" s="21"/>
      <c r="D14" s="21">
        <f t="shared" ref="D14:M14" si="0">((D5)*10^9/3600)+D12</f>
        <v>190.48337858266854</v>
      </c>
      <c r="E14" s="21">
        <f t="shared" si="0"/>
        <v>1264.8877023121695</v>
      </c>
      <c r="F14" s="21"/>
      <c r="G14" s="21">
        <f t="shared" si="0"/>
        <v>411640.57508016651</v>
      </c>
      <c r="H14" s="21">
        <f t="shared" si="0"/>
        <v>72231.275282457282</v>
      </c>
      <c r="I14" s="21"/>
      <c r="J14" s="21"/>
      <c r="K14" s="21"/>
      <c r="L14" s="21"/>
      <c r="M14" s="21">
        <f t="shared" si="0"/>
        <v>26035.071388909666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0.20600335824945001</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13.221122713415902</v>
      </c>
      <c r="C18" s="23"/>
      <c r="D18" s="23">
        <f t="shared" ref="D18:M18" si="1">D14*D16</f>
        <v>38.477642473699049</v>
      </c>
      <c r="E18" s="23">
        <f t="shared" si="1"/>
        <v>287.12950842486248</v>
      </c>
      <c r="F18" s="23"/>
      <c r="G18" s="23">
        <f t="shared" si="1"/>
        <v>109908.03354640446</v>
      </c>
      <c r="H18" s="23">
        <f t="shared" si="1"/>
        <v>17985.587545331862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3.4726515688395548E-2</v>
      </c>
      <c r="H50" s="321">
        <f t="shared" si="2"/>
        <v>0</v>
      </c>
      <c r="I50" s="321">
        <f t="shared" si="2"/>
        <v>0</v>
      </c>
      <c r="J50" s="321">
        <f t="shared" si="2"/>
        <v>0</v>
      </c>
      <c r="K50" s="321">
        <f t="shared" si="2"/>
        <v>0</v>
      </c>
      <c r="L50" s="321">
        <f t="shared" si="2"/>
        <v>0</v>
      </c>
      <c r="M50" s="321">
        <f t="shared" si="2"/>
        <v>1.9803519564473709E-3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3.4726515688395548E-2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1.9803519564473709E-3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9646.2543578876521</v>
      </c>
      <c r="H54" s="21">
        <f t="shared" si="3"/>
        <v>0</v>
      </c>
      <c r="I54" s="21">
        <f t="shared" si="3"/>
        <v>0</v>
      </c>
      <c r="J54" s="21">
        <f t="shared" si="3"/>
        <v>0</v>
      </c>
      <c r="K54" s="21">
        <f t="shared" si="3"/>
        <v>0</v>
      </c>
      <c r="L54" s="21">
        <f t="shared" si="3"/>
        <v>0</v>
      </c>
      <c r="M54" s="21">
        <f t="shared" si="3"/>
        <v>550.09776567982533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0.20600335824945001</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2575.549913556003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22169.446928597914</v>
      </c>
      <c r="C6" s="1223"/>
      <c r="D6" s="1226"/>
      <c r="E6" s="1226"/>
      <c r="F6" s="1229"/>
      <c r="G6" s="1232"/>
      <c r="H6" s="1220"/>
      <c r="I6" s="1226"/>
      <c r="J6" s="1226"/>
      <c r="K6" s="1226"/>
      <c r="L6" s="1256"/>
      <c r="M6" s="576"/>
      <c r="N6" s="1268"/>
      <c r="O6" s="1269"/>
      <c r="Q6" s="574"/>
      <c r="R6" s="1253"/>
      <c r="S6" s="1253"/>
    </row>
    <row r="7" spans="1:19" s="564" customFormat="1">
      <c r="A7" s="577" t="s">
        <v>252</v>
      </c>
      <c r="B7" s="578">
        <f>N57</f>
        <v>690.75</v>
      </c>
      <c r="C7" s="579">
        <f>B100</f>
        <v>812.64705882352951</v>
      </c>
      <c r="D7" s="580"/>
      <c r="E7" s="580">
        <f>E100</f>
        <v>0</v>
      </c>
      <c r="F7" s="581"/>
      <c r="G7" s="582"/>
      <c r="H7" s="580">
        <f>I100</f>
        <v>0</v>
      </c>
      <c r="I7" s="580">
        <f>G100+F100</f>
        <v>0</v>
      </c>
      <c r="J7" s="580">
        <f>H100+D100+C100</f>
        <v>0</v>
      </c>
      <c r="K7" s="580"/>
      <c r="L7" s="583"/>
      <c r="M7" s="584">
        <f>C7*$C$11+D7*$D$11+E7*$E$11+F7*$F$11+G7*$G$11+H7*$H$11+I7*$I$11+J7*$J$11</f>
        <v>164.15470588235297</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22860.196928597914</v>
      </c>
      <c r="C9" s="595">
        <f t="shared" ref="C9:L9" si="0">SUM(C7:C8)</f>
        <v>812.64705882352951</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164.15470588235297</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986.78571428571433</v>
      </c>
      <c r="C16" s="611">
        <f>B101</f>
        <v>1160.9243697478992</v>
      </c>
      <c r="D16" s="612"/>
      <c r="E16" s="612">
        <f>E101</f>
        <v>0</v>
      </c>
      <c r="F16" s="613"/>
      <c r="G16" s="614"/>
      <c r="H16" s="611">
        <f>I101</f>
        <v>0</v>
      </c>
      <c r="I16" s="612">
        <f>G101+F101</f>
        <v>0</v>
      </c>
      <c r="J16" s="612">
        <f>H101+D101+C101</f>
        <v>0</v>
      </c>
      <c r="K16" s="612"/>
      <c r="L16" s="615"/>
      <c r="M16" s="616">
        <f>C16*$C$21+E16*$E$21+H16*$H$21+I16*$I$21+J16*$J$21+D16*$D$21+F16*$F$21+G16*$G$21+K16*$K$21+L16*$L$21</f>
        <v>234.50672268907564</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986.78571428571433</v>
      </c>
      <c r="C19" s="594">
        <f>SUM(C16:C18)</f>
        <v>1160.9243697478992</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234.50672268907564</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46021</v>
      </c>
      <c r="C27" s="852">
        <v>9100</v>
      </c>
      <c r="D27" s="673" t="s">
        <v>871</v>
      </c>
      <c r="E27" s="672" t="s">
        <v>872</v>
      </c>
      <c r="F27" s="672" t="s">
        <v>873</v>
      </c>
      <c r="G27" s="672" t="s">
        <v>874</v>
      </c>
      <c r="H27" s="672" t="s">
        <v>875</v>
      </c>
      <c r="I27" s="672" t="s">
        <v>872</v>
      </c>
      <c r="J27" s="851">
        <v>40688</v>
      </c>
      <c r="K27" s="851">
        <v>40787</v>
      </c>
      <c r="L27" s="672" t="s">
        <v>876</v>
      </c>
      <c r="M27" s="672">
        <v>5</v>
      </c>
      <c r="N27" s="672">
        <v>22.5</v>
      </c>
      <c r="O27" s="672">
        <v>32.142857142857146</v>
      </c>
      <c r="P27" s="672">
        <v>64.285714285714292</v>
      </c>
      <c r="Q27" s="672">
        <v>0</v>
      </c>
      <c r="R27" s="672">
        <v>0</v>
      </c>
      <c r="S27" s="672">
        <v>0</v>
      </c>
      <c r="T27" s="672">
        <v>0</v>
      </c>
      <c r="U27" s="672">
        <v>0</v>
      </c>
      <c r="V27" s="672">
        <v>0</v>
      </c>
      <c r="W27" s="672">
        <v>0</v>
      </c>
      <c r="X27" s="672">
        <v>1600</v>
      </c>
      <c r="Y27" s="672" t="s">
        <v>50</v>
      </c>
      <c r="Z27" s="674" t="s">
        <v>156</v>
      </c>
    </row>
    <row r="28" spans="1:26" s="626" customFormat="1" ht="63.75">
      <c r="A28" s="625"/>
      <c r="B28" s="852">
        <v>46021</v>
      </c>
      <c r="C28" s="852">
        <v>9100</v>
      </c>
      <c r="D28" s="673" t="s">
        <v>877</v>
      </c>
      <c r="E28" s="672" t="s">
        <v>878</v>
      </c>
      <c r="F28" s="672" t="s">
        <v>879</v>
      </c>
      <c r="G28" s="672" t="s">
        <v>874</v>
      </c>
      <c r="H28" s="672" t="s">
        <v>875</v>
      </c>
      <c r="I28" s="672" t="s">
        <v>878</v>
      </c>
      <c r="J28" s="851">
        <v>40735</v>
      </c>
      <c r="K28" s="851">
        <v>40817</v>
      </c>
      <c r="L28" s="672" t="s">
        <v>876</v>
      </c>
      <c r="M28" s="672">
        <v>5.5</v>
      </c>
      <c r="N28" s="672">
        <v>24.75</v>
      </c>
      <c r="O28" s="672">
        <v>35.357142857142861</v>
      </c>
      <c r="P28" s="672">
        <v>70.714285714285722</v>
      </c>
      <c r="Q28" s="672">
        <v>0</v>
      </c>
      <c r="R28" s="672">
        <v>0</v>
      </c>
      <c r="S28" s="672">
        <v>0</v>
      </c>
      <c r="T28" s="672">
        <v>0</v>
      </c>
      <c r="U28" s="672">
        <v>0</v>
      </c>
      <c r="V28" s="672">
        <v>0</v>
      </c>
      <c r="W28" s="672">
        <v>0</v>
      </c>
      <c r="X28" s="672">
        <v>1600</v>
      </c>
      <c r="Y28" s="672" t="s">
        <v>50</v>
      </c>
      <c r="Z28" s="674" t="s">
        <v>156</v>
      </c>
    </row>
    <row r="29" spans="1:26" s="626" customFormat="1" ht="38.25">
      <c r="A29" s="625"/>
      <c r="B29" s="852">
        <v>46021</v>
      </c>
      <c r="C29" s="852">
        <v>9100</v>
      </c>
      <c r="D29" s="673" t="s">
        <v>880</v>
      </c>
      <c r="E29" s="672" t="s">
        <v>881</v>
      </c>
      <c r="F29" s="672" t="s">
        <v>882</v>
      </c>
      <c r="G29" s="672" t="s">
        <v>874</v>
      </c>
      <c r="H29" s="672" t="s">
        <v>875</v>
      </c>
      <c r="I29" s="672" t="s">
        <v>881</v>
      </c>
      <c r="J29" s="851">
        <v>41418</v>
      </c>
      <c r="K29" s="851">
        <v>41333</v>
      </c>
      <c r="L29" s="672" t="s">
        <v>876</v>
      </c>
      <c r="M29" s="672">
        <v>143</v>
      </c>
      <c r="N29" s="672">
        <v>643.5</v>
      </c>
      <c r="O29" s="672">
        <v>919.28571428571433</v>
      </c>
      <c r="P29" s="672">
        <v>1838.5714285714287</v>
      </c>
      <c r="Q29" s="672">
        <v>0</v>
      </c>
      <c r="R29" s="672">
        <v>0</v>
      </c>
      <c r="S29" s="672">
        <v>0</v>
      </c>
      <c r="T29" s="672">
        <v>0</v>
      </c>
      <c r="U29" s="672">
        <v>0</v>
      </c>
      <c r="V29" s="672">
        <v>0</v>
      </c>
      <c r="W29" s="672">
        <v>0</v>
      </c>
      <c r="X29" s="672">
        <v>500</v>
      </c>
      <c r="Y29" s="672" t="s">
        <v>41</v>
      </c>
      <c r="Z29" s="674" t="s">
        <v>389</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153.5</v>
      </c>
      <c r="N57" s="630">
        <f>SUM(N27:N56)</f>
        <v>690.75</v>
      </c>
      <c r="O57" s="630">
        <f t="shared" ref="O57:W57" si="2">SUM(O27:O56)</f>
        <v>986.78571428571433</v>
      </c>
      <c r="P57" s="630">
        <f t="shared" si="2"/>
        <v>1973.5714285714287</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143</v>
      </c>
      <c r="N58" s="630">
        <f t="shared" ref="N58:W58" si="3">SUMIF($Z$27:$Z$56,"industrie",N27:N56)</f>
        <v>643.5</v>
      </c>
      <c r="O58" s="630">
        <f t="shared" si="3"/>
        <v>919.28571428571433</v>
      </c>
      <c r="P58" s="630">
        <f t="shared" si="3"/>
        <v>1838.5714285714287</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10.5</v>
      </c>
      <c r="N59" s="630">
        <f ca="1">SUMIF($Z$27:AB56,"tertiair",N27:N56)</f>
        <v>47.25</v>
      </c>
      <c r="O59" s="630">
        <f ca="1">SUMIF($Z$27:AC56,"tertiair",O27:O56)</f>
        <v>67.5</v>
      </c>
      <c r="P59" s="630">
        <f ca="1">SUMIF($Z$27:AD56,"tertiair",P27:P56)</f>
        <v>135</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812.64705882352951</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1160.9243697478992</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127241.28200000001</v>
      </c>
      <c r="D10" s="719">
        <f ca="1">tertiair!C16</f>
        <v>67.5</v>
      </c>
      <c r="E10" s="719">
        <f ca="1">tertiair!D16</f>
        <v>143286.97377119269</v>
      </c>
      <c r="F10" s="719">
        <f>tertiair!E16</f>
        <v>1079.285822439514</v>
      </c>
      <c r="G10" s="719">
        <f ca="1">tertiair!F16</f>
        <v>17929.360485091282</v>
      </c>
      <c r="H10" s="719">
        <f>tertiair!G16</f>
        <v>0</v>
      </c>
      <c r="I10" s="719">
        <f>tertiair!H16</f>
        <v>0</v>
      </c>
      <c r="J10" s="719">
        <f>tertiair!I16</f>
        <v>0</v>
      </c>
      <c r="K10" s="719">
        <f>tertiair!J16</f>
        <v>0</v>
      </c>
      <c r="L10" s="719">
        <f>tertiair!K16</f>
        <v>0</v>
      </c>
      <c r="M10" s="719">
        <f ca="1">tertiair!L16</f>
        <v>0</v>
      </c>
      <c r="N10" s="719">
        <f>tertiair!M16</f>
        <v>0</v>
      </c>
      <c r="O10" s="719">
        <f ca="1">tertiair!N16</f>
        <v>9915.4609040300384</v>
      </c>
      <c r="P10" s="719">
        <f>tertiair!O16</f>
        <v>14.070000000000002</v>
      </c>
      <c r="Q10" s="720">
        <f>tertiair!P16</f>
        <v>209.73333333333335</v>
      </c>
      <c r="R10" s="722">
        <f ca="1">SUM(C10:Q10)</f>
        <v>299743.66631608689</v>
      </c>
      <c r="S10" s="67"/>
    </row>
    <row r="11" spans="1:19" s="475" customFormat="1">
      <c r="A11" s="871" t="s">
        <v>225</v>
      </c>
      <c r="B11" s="876"/>
      <c r="C11" s="719">
        <f>huishoudens!B8</f>
        <v>119108.02393155392</v>
      </c>
      <c r="D11" s="719">
        <f>huishoudens!C8</f>
        <v>0</v>
      </c>
      <c r="E11" s="719">
        <f>huishoudens!D8</f>
        <v>274238.71072387224</v>
      </c>
      <c r="F11" s="719">
        <f>huishoudens!E8</f>
        <v>9189.3725056419516</v>
      </c>
      <c r="G11" s="719">
        <f>huishoudens!F8</f>
        <v>0</v>
      </c>
      <c r="H11" s="719">
        <f>huishoudens!G8</f>
        <v>0</v>
      </c>
      <c r="I11" s="719">
        <f>huishoudens!H8</f>
        <v>0</v>
      </c>
      <c r="J11" s="719">
        <f>huishoudens!I8</f>
        <v>0</v>
      </c>
      <c r="K11" s="719">
        <f>huishoudens!J8</f>
        <v>11241.681911242737</v>
      </c>
      <c r="L11" s="719">
        <f>huishoudens!K8</f>
        <v>0</v>
      </c>
      <c r="M11" s="719">
        <f>huishoudens!L8</f>
        <v>0</v>
      </c>
      <c r="N11" s="719">
        <f>huishoudens!M8</f>
        <v>0</v>
      </c>
      <c r="O11" s="719">
        <f>huishoudens!N8</f>
        <v>47004.948505765678</v>
      </c>
      <c r="P11" s="719">
        <f>huishoudens!O8</f>
        <v>726.95</v>
      </c>
      <c r="Q11" s="720">
        <f>huishoudens!P8</f>
        <v>1982.9333333333334</v>
      </c>
      <c r="R11" s="722">
        <f>SUM(C11:Q11)</f>
        <v>463492.6209114099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75497.382339999982</v>
      </c>
      <c r="D13" s="719">
        <f>industrie!C18</f>
        <v>919.28571428571433</v>
      </c>
      <c r="E13" s="719">
        <f>industrie!D18</f>
        <v>52856.019829048746</v>
      </c>
      <c r="F13" s="719">
        <f>industrie!E18</f>
        <v>3854.5849283562243</v>
      </c>
      <c r="G13" s="719">
        <f>industrie!F18</f>
        <v>42603.734094813059</v>
      </c>
      <c r="H13" s="719">
        <f>industrie!G18</f>
        <v>0</v>
      </c>
      <c r="I13" s="719">
        <f>industrie!H18</f>
        <v>0</v>
      </c>
      <c r="J13" s="719">
        <f>industrie!I18</f>
        <v>0</v>
      </c>
      <c r="K13" s="719">
        <f>industrie!J18</f>
        <v>479.03058691467027</v>
      </c>
      <c r="L13" s="719">
        <f>industrie!K18</f>
        <v>0</v>
      </c>
      <c r="M13" s="719">
        <f>industrie!L18</f>
        <v>0</v>
      </c>
      <c r="N13" s="719">
        <f>industrie!M18</f>
        <v>0</v>
      </c>
      <c r="O13" s="719">
        <f>industrie!N18</f>
        <v>17019.070336547127</v>
      </c>
      <c r="P13" s="719">
        <f>industrie!O18</f>
        <v>0</v>
      </c>
      <c r="Q13" s="720">
        <f>industrie!P18</f>
        <v>0</v>
      </c>
      <c r="R13" s="722">
        <f>SUM(C13:Q13)</f>
        <v>193229.10782996553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321846.68827155395</v>
      </c>
      <c r="D15" s="724">
        <f t="shared" ref="D15:Q15" ca="1" si="0">SUM(D9:D14)</f>
        <v>986.78571428571433</v>
      </c>
      <c r="E15" s="724">
        <f t="shared" ca="1" si="0"/>
        <v>470381.70432411367</v>
      </c>
      <c r="F15" s="724">
        <f t="shared" si="0"/>
        <v>14123.24325643769</v>
      </c>
      <c r="G15" s="724">
        <f t="shared" ca="1" si="0"/>
        <v>60533.09457990434</v>
      </c>
      <c r="H15" s="724">
        <f t="shared" si="0"/>
        <v>0</v>
      </c>
      <c r="I15" s="724">
        <f t="shared" si="0"/>
        <v>0</v>
      </c>
      <c r="J15" s="724">
        <f t="shared" si="0"/>
        <v>0</v>
      </c>
      <c r="K15" s="724">
        <f t="shared" si="0"/>
        <v>11720.712498157407</v>
      </c>
      <c r="L15" s="724">
        <f t="shared" si="0"/>
        <v>0</v>
      </c>
      <c r="M15" s="724">
        <f t="shared" ca="1" si="0"/>
        <v>0</v>
      </c>
      <c r="N15" s="724">
        <f t="shared" si="0"/>
        <v>0</v>
      </c>
      <c r="O15" s="724">
        <f t="shared" ca="1" si="0"/>
        <v>73939.47974634284</v>
      </c>
      <c r="P15" s="724">
        <f t="shared" si="0"/>
        <v>741.0200000000001</v>
      </c>
      <c r="Q15" s="725">
        <f t="shared" si="0"/>
        <v>2192.666666666667</v>
      </c>
      <c r="R15" s="726">
        <f ca="1">SUM(R9:R14)</f>
        <v>956465.39505746227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9646.2543578876521</v>
      </c>
      <c r="I18" s="719">
        <f>transport!H54</f>
        <v>0</v>
      </c>
      <c r="J18" s="719">
        <f>transport!I54</f>
        <v>0</v>
      </c>
      <c r="K18" s="719">
        <f>transport!J54</f>
        <v>0</v>
      </c>
      <c r="L18" s="719">
        <f>transport!K54</f>
        <v>0</v>
      </c>
      <c r="M18" s="719">
        <f>transport!L54</f>
        <v>0</v>
      </c>
      <c r="N18" s="719">
        <f>transport!M54</f>
        <v>550.09776567982533</v>
      </c>
      <c r="O18" s="719">
        <f>transport!N54</f>
        <v>0</v>
      </c>
      <c r="P18" s="719">
        <f>transport!O54</f>
        <v>0</v>
      </c>
      <c r="Q18" s="720">
        <f>transport!P54</f>
        <v>0</v>
      </c>
      <c r="R18" s="722">
        <f>SUM(C18:Q18)</f>
        <v>10196.352123567478</v>
      </c>
      <c r="S18" s="67"/>
    </row>
    <row r="19" spans="1:19" s="475" customFormat="1" ht="15" thickBot="1">
      <c r="A19" s="871" t="s">
        <v>307</v>
      </c>
      <c r="B19" s="876"/>
      <c r="C19" s="728">
        <f>transport!B14</f>
        <v>64.179161086327582</v>
      </c>
      <c r="D19" s="728">
        <f>transport!C14</f>
        <v>0</v>
      </c>
      <c r="E19" s="728">
        <f>transport!D14</f>
        <v>190.48337858266854</v>
      </c>
      <c r="F19" s="728">
        <f>transport!E14</f>
        <v>1264.8877023121695</v>
      </c>
      <c r="G19" s="728">
        <f>transport!F14</f>
        <v>0</v>
      </c>
      <c r="H19" s="728">
        <f>transport!G14</f>
        <v>411640.57508016651</v>
      </c>
      <c r="I19" s="728">
        <f>transport!H14</f>
        <v>72231.275282457282</v>
      </c>
      <c r="J19" s="728">
        <f>transport!I14</f>
        <v>0</v>
      </c>
      <c r="K19" s="728">
        <f>transport!J14</f>
        <v>0</v>
      </c>
      <c r="L19" s="728">
        <f>transport!K14</f>
        <v>0</v>
      </c>
      <c r="M19" s="728">
        <f>transport!L14</f>
        <v>0</v>
      </c>
      <c r="N19" s="728">
        <f>transport!M14</f>
        <v>26035.071388909666</v>
      </c>
      <c r="O19" s="728">
        <f>transport!N14</f>
        <v>0</v>
      </c>
      <c r="P19" s="728">
        <f>transport!O14</f>
        <v>0</v>
      </c>
      <c r="Q19" s="729">
        <f>transport!P14</f>
        <v>0</v>
      </c>
      <c r="R19" s="730">
        <f>SUM(C19:Q19)</f>
        <v>511426.47199351463</v>
      </c>
      <c r="S19" s="67"/>
    </row>
    <row r="20" spans="1:19" s="475" customFormat="1" ht="15.75" thickBot="1">
      <c r="A20" s="731" t="s">
        <v>230</v>
      </c>
      <c r="B20" s="879"/>
      <c r="C20" s="874">
        <f>SUM(C17:C19)</f>
        <v>64.179161086327582</v>
      </c>
      <c r="D20" s="732">
        <f t="shared" ref="D20:R20" si="1">SUM(D17:D19)</f>
        <v>0</v>
      </c>
      <c r="E20" s="732">
        <f t="shared" si="1"/>
        <v>190.48337858266854</v>
      </c>
      <c r="F20" s="732">
        <f t="shared" si="1"/>
        <v>1264.8877023121695</v>
      </c>
      <c r="G20" s="732">
        <f t="shared" si="1"/>
        <v>0</v>
      </c>
      <c r="H20" s="732">
        <f t="shared" si="1"/>
        <v>421286.82943805418</v>
      </c>
      <c r="I20" s="732">
        <f t="shared" si="1"/>
        <v>72231.275282457282</v>
      </c>
      <c r="J20" s="732">
        <f t="shared" si="1"/>
        <v>0</v>
      </c>
      <c r="K20" s="732">
        <f t="shared" si="1"/>
        <v>0</v>
      </c>
      <c r="L20" s="732">
        <f t="shared" si="1"/>
        <v>0</v>
      </c>
      <c r="M20" s="732">
        <f t="shared" si="1"/>
        <v>0</v>
      </c>
      <c r="N20" s="732">
        <f t="shared" si="1"/>
        <v>26585.16915458949</v>
      </c>
      <c r="O20" s="732">
        <f t="shared" si="1"/>
        <v>0</v>
      </c>
      <c r="P20" s="732">
        <f t="shared" si="1"/>
        <v>0</v>
      </c>
      <c r="Q20" s="733">
        <f t="shared" si="1"/>
        <v>0</v>
      </c>
      <c r="R20" s="734">
        <f t="shared" si="1"/>
        <v>521622.82411708211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4025.3586</v>
      </c>
      <c r="D22" s="728">
        <f>+landbouw!C8</f>
        <v>0</v>
      </c>
      <c r="E22" s="728">
        <f>+landbouw!D8</f>
        <v>13911.369944845022</v>
      </c>
      <c r="F22" s="728">
        <f>+landbouw!E8</f>
        <v>37.284557328359753</v>
      </c>
      <c r="G22" s="728">
        <f>+landbouw!F8</f>
        <v>10213.101598226363</v>
      </c>
      <c r="H22" s="728">
        <f>+landbouw!G8</f>
        <v>0</v>
      </c>
      <c r="I22" s="728">
        <f>+landbouw!H8</f>
        <v>0</v>
      </c>
      <c r="J22" s="728">
        <f>+landbouw!I8</f>
        <v>0</v>
      </c>
      <c r="K22" s="728">
        <f>+landbouw!J8</f>
        <v>617.13239651308845</v>
      </c>
      <c r="L22" s="728">
        <f>+landbouw!K8</f>
        <v>0</v>
      </c>
      <c r="M22" s="728">
        <f>+landbouw!L8</f>
        <v>0</v>
      </c>
      <c r="N22" s="728">
        <f>+landbouw!M8</f>
        <v>0</v>
      </c>
      <c r="O22" s="728">
        <f>+landbouw!N8</f>
        <v>0</v>
      </c>
      <c r="P22" s="728">
        <f>+landbouw!O8</f>
        <v>0</v>
      </c>
      <c r="Q22" s="729">
        <f>+landbouw!P8</f>
        <v>0</v>
      </c>
      <c r="R22" s="730">
        <f>SUM(C22:Q22)</f>
        <v>28804.247096912834</v>
      </c>
      <c r="S22" s="67"/>
    </row>
    <row r="23" spans="1:19" s="475" customFormat="1" ht="17.25" thickTop="1" thickBot="1">
      <c r="A23" s="735" t="s">
        <v>116</v>
      </c>
      <c r="B23" s="865"/>
      <c r="C23" s="736">
        <f ca="1">C20+C15+C22</f>
        <v>325936.22603264026</v>
      </c>
      <c r="D23" s="736">
        <f t="shared" ref="D23:Q23" ca="1" si="2">D20+D15+D22</f>
        <v>986.78571428571433</v>
      </c>
      <c r="E23" s="736">
        <f t="shared" ca="1" si="2"/>
        <v>484483.5576475414</v>
      </c>
      <c r="F23" s="736">
        <f t="shared" si="2"/>
        <v>15425.415516078219</v>
      </c>
      <c r="G23" s="736">
        <f t="shared" ca="1" si="2"/>
        <v>70746.196178130704</v>
      </c>
      <c r="H23" s="736">
        <f t="shared" si="2"/>
        <v>421286.82943805418</v>
      </c>
      <c r="I23" s="736">
        <f t="shared" si="2"/>
        <v>72231.275282457282</v>
      </c>
      <c r="J23" s="736">
        <f t="shared" si="2"/>
        <v>0</v>
      </c>
      <c r="K23" s="736">
        <f t="shared" si="2"/>
        <v>12337.844894670496</v>
      </c>
      <c r="L23" s="736">
        <f t="shared" si="2"/>
        <v>0</v>
      </c>
      <c r="M23" s="736">
        <f t="shared" ca="1" si="2"/>
        <v>0</v>
      </c>
      <c r="N23" s="736">
        <f t="shared" si="2"/>
        <v>26585.16915458949</v>
      </c>
      <c r="O23" s="736">
        <f t="shared" ca="1" si="2"/>
        <v>73939.47974634284</v>
      </c>
      <c r="P23" s="736">
        <f t="shared" si="2"/>
        <v>741.0200000000001</v>
      </c>
      <c r="Q23" s="737">
        <f t="shared" si="2"/>
        <v>2192.666666666667</v>
      </c>
      <c r="R23" s="738">
        <f ca="1">R20+R15+R22</f>
        <v>1506892.4662714573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26212.131399965296</v>
      </c>
      <c r="D36" s="719">
        <f ca="1">tertiair!C20</f>
        <v>16.041176470588233</v>
      </c>
      <c r="E36" s="719">
        <f ca="1">tertiair!D20</f>
        <v>28943.968701780923</v>
      </c>
      <c r="F36" s="719">
        <f>tertiair!E20</f>
        <v>244.9978816937697</v>
      </c>
      <c r="G36" s="719">
        <f ca="1">tertiair!F20</f>
        <v>4787.1392495193722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60204.27840942995</v>
      </c>
    </row>
    <row r="37" spans="1:18">
      <c r="A37" s="886" t="s">
        <v>225</v>
      </c>
      <c r="B37" s="893"/>
      <c r="C37" s="719">
        <f ca="1">huishoudens!B12</f>
        <v>24536.652924355967</v>
      </c>
      <c r="D37" s="719">
        <f ca="1">huishoudens!C12</f>
        <v>0</v>
      </c>
      <c r="E37" s="719">
        <f>huishoudens!D12</f>
        <v>55396.219566222193</v>
      </c>
      <c r="F37" s="719">
        <f>huishoudens!E12</f>
        <v>2085.9875587807232</v>
      </c>
      <c r="G37" s="719">
        <f>huishoudens!F12</f>
        <v>0</v>
      </c>
      <c r="H37" s="719">
        <f>huishoudens!G12</f>
        <v>0</v>
      </c>
      <c r="I37" s="719">
        <f>huishoudens!H12</f>
        <v>0</v>
      </c>
      <c r="J37" s="719">
        <f>huishoudens!I12</f>
        <v>0</v>
      </c>
      <c r="K37" s="719">
        <f>huishoudens!J12</f>
        <v>3979.5553965799286</v>
      </c>
      <c r="L37" s="719">
        <f>huishoudens!K12</f>
        <v>0</v>
      </c>
      <c r="M37" s="719">
        <f>huishoudens!L12</f>
        <v>0</v>
      </c>
      <c r="N37" s="719">
        <f>huishoudens!M12</f>
        <v>0</v>
      </c>
      <c r="O37" s="719">
        <f>huishoudens!N12</f>
        <v>0</v>
      </c>
      <c r="P37" s="719">
        <f>huishoudens!O12</f>
        <v>0</v>
      </c>
      <c r="Q37" s="829">
        <f>huishoudens!P12</f>
        <v>0</v>
      </c>
      <c r="R37" s="918">
        <f ca="1">SUM(C37:Q37)</f>
        <v>85998.415445938808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15552.714301082717</v>
      </c>
      <c r="D39" s="719">
        <f ca="1">industrie!C22</f>
        <v>218.46554621848739</v>
      </c>
      <c r="E39" s="719">
        <f>industrie!D22</f>
        <v>10676.916005467847</v>
      </c>
      <c r="F39" s="719">
        <f>industrie!E22</f>
        <v>874.99077873686292</v>
      </c>
      <c r="G39" s="719">
        <f>industrie!F22</f>
        <v>11375.197003315086</v>
      </c>
      <c r="H39" s="719">
        <f>industrie!G22</f>
        <v>0</v>
      </c>
      <c r="I39" s="719">
        <f>industrie!H22</f>
        <v>0</v>
      </c>
      <c r="J39" s="719">
        <f>industrie!I22</f>
        <v>0</v>
      </c>
      <c r="K39" s="719">
        <f>industrie!J22</f>
        <v>169.57682776779328</v>
      </c>
      <c r="L39" s="719">
        <f>industrie!K22</f>
        <v>0</v>
      </c>
      <c r="M39" s="719">
        <f>industrie!L22</f>
        <v>0</v>
      </c>
      <c r="N39" s="719">
        <f>industrie!M22</f>
        <v>0</v>
      </c>
      <c r="O39" s="719">
        <f>industrie!N22</f>
        <v>0</v>
      </c>
      <c r="P39" s="719">
        <f>industrie!O22</f>
        <v>0</v>
      </c>
      <c r="Q39" s="829">
        <f>industrie!P22</f>
        <v>0</v>
      </c>
      <c r="R39" s="919">
        <f ca="1">SUM(C39:Q39)</f>
        <v>38867.860462588797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66301.498625403983</v>
      </c>
      <c r="D41" s="764">
        <f t="shared" ref="D41:R41" ca="1" si="4">SUM(D35:D40)</f>
        <v>234.50672268907562</v>
      </c>
      <c r="E41" s="764">
        <f t="shared" ca="1" si="4"/>
        <v>95017.104273470963</v>
      </c>
      <c r="F41" s="764">
        <f t="shared" si="4"/>
        <v>3205.9762192113558</v>
      </c>
      <c r="G41" s="764">
        <f t="shared" ca="1" si="4"/>
        <v>16162.336252834459</v>
      </c>
      <c r="H41" s="764">
        <f t="shared" si="4"/>
        <v>0</v>
      </c>
      <c r="I41" s="764">
        <f t="shared" si="4"/>
        <v>0</v>
      </c>
      <c r="J41" s="764">
        <f t="shared" si="4"/>
        <v>0</v>
      </c>
      <c r="K41" s="764">
        <f t="shared" si="4"/>
        <v>4149.1322243477216</v>
      </c>
      <c r="L41" s="764">
        <f t="shared" si="4"/>
        <v>0</v>
      </c>
      <c r="M41" s="764">
        <f t="shared" ca="1" si="4"/>
        <v>0</v>
      </c>
      <c r="N41" s="764">
        <f t="shared" si="4"/>
        <v>0</v>
      </c>
      <c r="O41" s="764">
        <f t="shared" ca="1" si="4"/>
        <v>0</v>
      </c>
      <c r="P41" s="764">
        <f t="shared" si="4"/>
        <v>0</v>
      </c>
      <c r="Q41" s="765">
        <f t="shared" si="4"/>
        <v>0</v>
      </c>
      <c r="R41" s="766">
        <f t="shared" ca="1" si="4"/>
        <v>185070.55431795755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2575.549913556003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2575.549913556003</v>
      </c>
    </row>
    <row r="45" spans="1:18" ht="15" thickBot="1">
      <c r="A45" s="889" t="s">
        <v>307</v>
      </c>
      <c r="B45" s="899"/>
      <c r="C45" s="728">
        <f ca="1">transport!B18</f>
        <v>13.221122713415902</v>
      </c>
      <c r="D45" s="728">
        <f>transport!C18</f>
        <v>0</v>
      </c>
      <c r="E45" s="728">
        <f>transport!D18</f>
        <v>38.477642473699049</v>
      </c>
      <c r="F45" s="728">
        <f>transport!E18</f>
        <v>287.12950842486248</v>
      </c>
      <c r="G45" s="728">
        <f>transport!F18</f>
        <v>0</v>
      </c>
      <c r="H45" s="728">
        <f>transport!G18</f>
        <v>109908.03354640446</v>
      </c>
      <c r="I45" s="728">
        <f>transport!H18</f>
        <v>17985.587545331862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128232.44936534829</v>
      </c>
    </row>
    <row r="46" spans="1:18" ht="15.75" thickBot="1">
      <c r="A46" s="887" t="s">
        <v>230</v>
      </c>
      <c r="B46" s="900"/>
      <c r="C46" s="764">
        <f t="shared" ref="C46:R46" ca="1" si="5">SUM(C43:C45)</f>
        <v>13.221122713415902</v>
      </c>
      <c r="D46" s="764">
        <f t="shared" ca="1" si="5"/>
        <v>0</v>
      </c>
      <c r="E46" s="764">
        <f t="shared" si="5"/>
        <v>38.477642473699049</v>
      </c>
      <c r="F46" s="764">
        <f t="shared" si="5"/>
        <v>287.12950842486248</v>
      </c>
      <c r="G46" s="764">
        <f t="shared" si="5"/>
        <v>0</v>
      </c>
      <c r="H46" s="764">
        <f t="shared" si="5"/>
        <v>112483.58345996047</v>
      </c>
      <c r="I46" s="764">
        <f t="shared" si="5"/>
        <v>17985.587545331862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130807.9992789043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829.23738975830452</v>
      </c>
      <c r="D48" s="719">
        <f ca="1">+landbouw!C12</f>
        <v>0</v>
      </c>
      <c r="E48" s="719">
        <f>+landbouw!D12</f>
        <v>2810.0967288586949</v>
      </c>
      <c r="F48" s="719">
        <f>+landbouw!E12</f>
        <v>8.4635945135376645</v>
      </c>
      <c r="G48" s="719">
        <f>+landbouw!F12</f>
        <v>2726.8981267264394</v>
      </c>
      <c r="H48" s="719">
        <f>+landbouw!G12</f>
        <v>0</v>
      </c>
      <c r="I48" s="719">
        <f>+landbouw!H12</f>
        <v>0</v>
      </c>
      <c r="J48" s="719">
        <f>+landbouw!I12</f>
        <v>0</v>
      </c>
      <c r="K48" s="719">
        <f>+landbouw!J12</f>
        <v>218.46486836563329</v>
      </c>
      <c r="L48" s="719">
        <f>+landbouw!K12</f>
        <v>0</v>
      </c>
      <c r="M48" s="719">
        <f>+landbouw!L12</f>
        <v>0</v>
      </c>
      <c r="N48" s="719">
        <f>+landbouw!M12</f>
        <v>0</v>
      </c>
      <c r="O48" s="719">
        <f>+landbouw!N12</f>
        <v>0</v>
      </c>
      <c r="P48" s="719">
        <f>+landbouw!O12</f>
        <v>0</v>
      </c>
      <c r="Q48" s="720">
        <f>+landbouw!P12</f>
        <v>0</v>
      </c>
      <c r="R48" s="762">
        <f ca="1">SUM(C48:Q48)</f>
        <v>6593.1607082226101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67143.957137875695</v>
      </c>
      <c r="D53" s="774">
        <f t="shared" ref="D53:Q53" ca="1" si="6">D41+D46+D48</f>
        <v>234.50672268907562</v>
      </c>
      <c r="E53" s="774">
        <f t="shared" ca="1" si="6"/>
        <v>97865.678644803353</v>
      </c>
      <c r="F53" s="774">
        <f t="shared" si="6"/>
        <v>3501.5693221497559</v>
      </c>
      <c r="G53" s="774">
        <f t="shared" ca="1" si="6"/>
        <v>18889.234379560898</v>
      </c>
      <c r="H53" s="774">
        <f t="shared" si="6"/>
        <v>112483.58345996047</v>
      </c>
      <c r="I53" s="774">
        <f t="shared" si="6"/>
        <v>17985.587545331862</v>
      </c>
      <c r="J53" s="774">
        <f t="shared" si="6"/>
        <v>0</v>
      </c>
      <c r="K53" s="774">
        <f t="shared" si="6"/>
        <v>4367.5970927133549</v>
      </c>
      <c r="L53" s="774">
        <f t="shared" si="6"/>
        <v>0</v>
      </c>
      <c r="M53" s="774">
        <f t="shared" ca="1" si="6"/>
        <v>0</v>
      </c>
      <c r="N53" s="774">
        <f t="shared" si="6"/>
        <v>0</v>
      </c>
      <c r="O53" s="774">
        <f t="shared" ca="1" si="6"/>
        <v>0</v>
      </c>
      <c r="P53" s="774">
        <f>P41+P46+P48</f>
        <v>0</v>
      </c>
      <c r="Q53" s="775">
        <f t="shared" si="6"/>
        <v>0</v>
      </c>
      <c r="R53" s="776">
        <f ca="1">R41+R46+R48</f>
        <v>322471.71430508443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0.20600335824944999</v>
      </c>
      <c r="D55" s="837">
        <f t="shared" ca="1" si="7"/>
        <v>0.23764705882352938</v>
      </c>
      <c r="E55" s="837">
        <f t="shared" ca="1" si="7"/>
        <v>0.20199999999999999</v>
      </c>
      <c r="F55" s="837">
        <f t="shared" si="7"/>
        <v>0.22700000000000001</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22169.446928597914</v>
      </c>
      <c r="C66" s="796">
        <f>'lokale energieproductie'!B6</f>
        <v>22169.446928597914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690.75</v>
      </c>
      <c r="C67" s="795">
        <f>B67*IFERROR(SUM(J67:L67)/SUM(D67:M67),0)</f>
        <v>0</v>
      </c>
      <c r="D67" s="827">
        <f>'lokale energieproductie'!C7</f>
        <v>812.64705882352951</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164.15470588235297</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22860.196928597914</v>
      </c>
      <c r="C69" s="804">
        <f>SUM(C64:C68)</f>
        <v>22169.446928597914</v>
      </c>
      <c r="D69" s="805">
        <f t="shared" ref="D69:M69" si="8">SUM(D67:D68)</f>
        <v>812.64705882352951</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164.15470588235297</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986.78571428571433</v>
      </c>
      <c r="C78" s="818">
        <f>B78*IFERROR(SUM(I78:L78)/SUM(D78:M78),0)</f>
        <v>0</v>
      </c>
      <c r="D78" s="833">
        <f>'lokale energieproductie'!C16</f>
        <v>1160.9243697478992</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234.50672268907564</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986.78571428571433</v>
      </c>
      <c r="C81" s="804">
        <f>SUM(C78:C80)</f>
        <v>0</v>
      </c>
      <c r="D81" s="804">
        <f t="shared" ref="D81:P81" si="9">SUM(D78:D80)</f>
        <v>1160.9243697478992</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234.50672268907564</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119108.02393155392</v>
      </c>
      <c r="C4" s="479">
        <f>huishoudens!C8</f>
        <v>0</v>
      </c>
      <c r="D4" s="479">
        <f>huishoudens!D8</f>
        <v>274238.71072387224</v>
      </c>
      <c r="E4" s="479">
        <f>huishoudens!E8</f>
        <v>9189.3725056419516</v>
      </c>
      <c r="F4" s="479">
        <f>huishoudens!F8</f>
        <v>0</v>
      </c>
      <c r="G4" s="479">
        <f>huishoudens!G8</f>
        <v>0</v>
      </c>
      <c r="H4" s="479">
        <f>huishoudens!H8</f>
        <v>0</v>
      </c>
      <c r="I4" s="479">
        <f>huishoudens!I8</f>
        <v>0</v>
      </c>
      <c r="J4" s="479">
        <f>huishoudens!J8</f>
        <v>11241.681911242737</v>
      </c>
      <c r="K4" s="479">
        <f>huishoudens!K8</f>
        <v>0</v>
      </c>
      <c r="L4" s="479">
        <f>huishoudens!L8</f>
        <v>0</v>
      </c>
      <c r="M4" s="479">
        <f>huishoudens!M8</f>
        <v>0</v>
      </c>
      <c r="N4" s="479">
        <f>huishoudens!N8</f>
        <v>47004.948505765678</v>
      </c>
      <c r="O4" s="479">
        <f>huishoudens!O8</f>
        <v>726.95</v>
      </c>
      <c r="P4" s="480">
        <f>huishoudens!P8</f>
        <v>1982.9333333333334</v>
      </c>
      <c r="Q4" s="481">
        <f>SUM(B4:P4)</f>
        <v>463492.6209114099</v>
      </c>
    </row>
    <row r="5" spans="1:17">
      <c r="A5" s="478" t="s">
        <v>156</v>
      </c>
      <c r="B5" s="479">
        <f ca="1">tertiair!B16</f>
        <v>123649.163</v>
      </c>
      <c r="C5" s="479">
        <f ca="1">tertiair!C16</f>
        <v>67.5</v>
      </c>
      <c r="D5" s="479">
        <f ca="1">tertiair!D16</f>
        <v>143286.97377119269</v>
      </c>
      <c r="E5" s="479">
        <f>tertiair!E16</f>
        <v>1079.285822439514</v>
      </c>
      <c r="F5" s="479">
        <f ca="1">tertiair!F16</f>
        <v>17929.360485091282</v>
      </c>
      <c r="G5" s="479">
        <f>tertiair!G16</f>
        <v>0</v>
      </c>
      <c r="H5" s="479">
        <f>tertiair!H16</f>
        <v>0</v>
      </c>
      <c r="I5" s="479">
        <f>tertiair!I16</f>
        <v>0</v>
      </c>
      <c r="J5" s="479">
        <f>tertiair!J16</f>
        <v>0</v>
      </c>
      <c r="K5" s="479">
        <f>tertiair!K16</f>
        <v>0</v>
      </c>
      <c r="L5" s="479">
        <f ca="1">tertiair!L16</f>
        <v>0</v>
      </c>
      <c r="M5" s="479">
        <f>tertiair!M16</f>
        <v>0</v>
      </c>
      <c r="N5" s="479">
        <f ca="1">tertiair!N16</f>
        <v>9915.4609040300384</v>
      </c>
      <c r="O5" s="479">
        <f>tertiair!O16</f>
        <v>14.070000000000002</v>
      </c>
      <c r="P5" s="480">
        <f>tertiair!P16</f>
        <v>209.73333333333335</v>
      </c>
      <c r="Q5" s="478">
        <f t="shared" ref="Q5:Q13" ca="1" si="0">SUM(B5:P5)</f>
        <v>296151.54731608683</v>
      </c>
    </row>
    <row r="6" spans="1:17">
      <c r="A6" s="478" t="s">
        <v>194</v>
      </c>
      <c r="B6" s="479">
        <f>'openbare verlichting'!B8</f>
        <v>3592.1190000000001</v>
      </c>
      <c r="C6" s="479"/>
      <c r="D6" s="479"/>
      <c r="E6" s="479"/>
      <c r="F6" s="479"/>
      <c r="G6" s="479"/>
      <c r="H6" s="479"/>
      <c r="I6" s="479"/>
      <c r="J6" s="479"/>
      <c r="K6" s="479"/>
      <c r="L6" s="479"/>
      <c r="M6" s="479"/>
      <c r="N6" s="479"/>
      <c r="O6" s="479"/>
      <c r="P6" s="480"/>
      <c r="Q6" s="478">
        <f t="shared" si="0"/>
        <v>3592.1190000000001</v>
      </c>
    </row>
    <row r="7" spans="1:17">
      <c r="A7" s="478" t="s">
        <v>112</v>
      </c>
      <c r="B7" s="479">
        <f>landbouw!B8</f>
        <v>4025.3586</v>
      </c>
      <c r="C7" s="479">
        <f>landbouw!C8</f>
        <v>0</v>
      </c>
      <c r="D7" s="479">
        <f>landbouw!D8</f>
        <v>13911.369944845022</v>
      </c>
      <c r="E7" s="479">
        <f>landbouw!E8</f>
        <v>37.284557328359753</v>
      </c>
      <c r="F7" s="479">
        <f>landbouw!F8</f>
        <v>10213.101598226363</v>
      </c>
      <c r="G7" s="479">
        <f>landbouw!G8</f>
        <v>0</v>
      </c>
      <c r="H7" s="479">
        <f>landbouw!H8</f>
        <v>0</v>
      </c>
      <c r="I7" s="479">
        <f>landbouw!I8</f>
        <v>0</v>
      </c>
      <c r="J7" s="479">
        <f>landbouw!J8</f>
        <v>617.13239651308845</v>
      </c>
      <c r="K7" s="479">
        <f>landbouw!K8</f>
        <v>0</v>
      </c>
      <c r="L7" s="479">
        <f>landbouw!L8</f>
        <v>0</v>
      </c>
      <c r="M7" s="479">
        <f>landbouw!M8</f>
        <v>0</v>
      </c>
      <c r="N7" s="479">
        <f>landbouw!N8</f>
        <v>0</v>
      </c>
      <c r="O7" s="479">
        <f>landbouw!O8</f>
        <v>0</v>
      </c>
      <c r="P7" s="480">
        <f>landbouw!P8</f>
        <v>0</v>
      </c>
      <c r="Q7" s="478">
        <f t="shared" si="0"/>
        <v>28804.247096912834</v>
      </c>
    </row>
    <row r="8" spans="1:17">
      <c r="A8" s="478" t="s">
        <v>650</v>
      </c>
      <c r="B8" s="479">
        <f>industrie!B18</f>
        <v>75497.382339999982</v>
      </c>
      <c r="C8" s="479">
        <f>industrie!C18</f>
        <v>919.28571428571433</v>
      </c>
      <c r="D8" s="479">
        <f>industrie!D18</f>
        <v>52856.019829048746</v>
      </c>
      <c r="E8" s="479">
        <f>industrie!E18</f>
        <v>3854.5849283562243</v>
      </c>
      <c r="F8" s="479">
        <f>industrie!F18</f>
        <v>42603.734094813059</v>
      </c>
      <c r="G8" s="479">
        <f>industrie!G18</f>
        <v>0</v>
      </c>
      <c r="H8" s="479">
        <f>industrie!H18</f>
        <v>0</v>
      </c>
      <c r="I8" s="479">
        <f>industrie!I18</f>
        <v>0</v>
      </c>
      <c r="J8" s="479">
        <f>industrie!J18</f>
        <v>479.03058691467027</v>
      </c>
      <c r="K8" s="479">
        <f>industrie!K18</f>
        <v>0</v>
      </c>
      <c r="L8" s="479">
        <f>industrie!L18</f>
        <v>0</v>
      </c>
      <c r="M8" s="479">
        <f>industrie!M18</f>
        <v>0</v>
      </c>
      <c r="N8" s="479">
        <f>industrie!N18</f>
        <v>17019.070336547127</v>
      </c>
      <c r="O8" s="479">
        <f>industrie!O18</f>
        <v>0</v>
      </c>
      <c r="P8" s="480">
        <f>industrie!P18</f>
        <v>0</v>
      </c>
      <c r="Q8" s="478">
        <f t="shared" si="0"/>
        <v>193229.10782996553</v>
      </c>
    </row>
    <row r="9" spans="1:17" s="484" customFormat="1">
      <c r="A9" s="482" t="s">
        <v>571</v>
      </c>
      <c r="B9" s="483">
        <f>transport!B14</f>
        <v>64.179161086327582</v>
      </c>
      <c r="C9" s="483"/>
      <c r="D9" s="483">
        <f>transport!D14</f>
        <v>190.48337858266854</v>
      </c>
      <c r="E9" s="483">
        <f>transport!E14</f>
        <v>1264.8877023121695</v>
      </c>
      <c r="F9" s="483"/>
      <c r="G9" s="483">
        <f>transport!G14</f>
        <v>411640.57508016651</v>
      </c>
      <c r="H9" s="483">
        <f>transport!H14</f>
        <v>72231.275282457282</v>
      </c>
      <c r="I9" s="483"/>
      <c r="J9" s="483"/>
      <c r="K9" s="483"/>
      <c r="L9" s="483"/>
      <c r="M9" s="483">
        <f>transport!M14</f>
        <v>26035.071388909666</v>
      </c>
      <c r="N9" s="483"/>
      <c r="O9" s="483"/>
      <c r="P9" s="483"/>
      <c r="Q9" s="482">
        <f>SUM(B9:P9)</f>
        <v>511426.47199351463</v>
      </c>
    </row>
    <row r="10" spans="1:17">
      <c r="A10" s="478" t="s">
        <v>561</v>
      </c>
      <c r="B10" s="479">
        <f>transport!B54</f>
        <v>0</v>
      </c>
      <c r="C10" s="479"/>
      <c r="D10" s="479">
        <f>transport!D54</f>
        <v>0</v>
      </c>
      <c r="E10" s="479"/>
      <c r="F10" s="479"/>
      <c r="G10" s="479">
        <f>transport!G54</f>
        <v>9646.2543578876521</v>
      </c>
      <c r="H10" s="479"/>
      <c r="I10" s="479"/>
      <c r="J10" s="479"/>
      <c r="K10" s="479"/>
      <c r="L10" s="479"/>
      <c r="M10" s="479">
        <f>transport!M54</f>
        <v>550.09776567982533</v>
      </c>
      <c r="N10" s="479"/>
      <c r="O10" s="479"/>
      <c r="P10" s="480"/>
      <c r="Q10" s="478">
        <f t="shared" si="0"/>
        <v>10196.352123567478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325936.22603264026</v>
      </c>
      <c r="C14" s="489">
        <f t="shared" ref="C14:Q14" ca="1" si="1">SUM(C4:C13)</f>
        <v>986.78571428571433</v>
      </c>
      <c r="D14" s="489">
        <f t="shared" ca="1" si="1"/>
        <v>484483.55764754134</v>
      </c>
      <c r="E14" s="489">
        <f t="shared" si="1"/>
        <v>15425.415516078219</v>
      </c>
      <c r="F14" s="489">
        <f t="shared" ca="1" si="1"/>
        <v>70746.196178130704</v>
      </c>
      <c r="G14" s="489">
        <f t="shared" si="1"/>
        <v>421286.82943805418</v>
      </c>
      <c r="H14" s="489">
        <f t="shared" si="1"/>
        <v>72231.275282457282</v>
      </c>
      <c r="I14" s="489">
        <f t="shared" si="1"/>
        <v>0</v>
      </c>
      <c r="J14" s="489">
        <f t="shared" si="1"/>
        <v>12337.844894670496</v>
      </c>
      <c r="K14" s="489">
        <f t="shared" si="1"/>
        <v>0</v>
      </c>
      <c r="L14" s="489">
        <f t="shared" ca="1" si="1"/>
        <v>0</v>
      </c>
      <c r="M14" s="489">
        <f t="shared" si="1"/>
        <v>26585.16915458949</v>
      </c>
      <c r="N14" s="489">
        <f t="shared" ca="1" si="1"/>
        <v>73939.47974634284</v>
      </c>
      <c r="O14" s="489">
        <f t="shared" si="1"/>
        <v>741.0200000000001</v>
      </c>
      <c r="P14" s="490">
        <f t="shared" si="1"/>
        <v>2192.666666666667</v>
      </c>
      <c r="Q14" s="490">
        <f t="shared" ca="1" si="1"/>
        <v>1506892.466271457</v>
      </c>
    </row>
    <row r="16" spans="1:17">
      <c r="A16" s="492" t="s">
        <v>566</v>
      </c>
      <c r="B16" s="842">
        <f ca="1">huishoudens!B10</f>
        <v>0.20600335824945001</v>
      </c>
      <c r="C16" s="842">
        <f ca="1">huishoudens!C10</f>
        <v>0.23764705882352941</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24536.652924355967</v>
      </c>
      <c r="C21" s="479">
        <f t="shared" ref="C21:C28" ca="1" si="3">C4*$C$16</f>
        <v>0</v>
      </c>
      <c r="D21" s="479">
        <f t="shared" ref="D21:D30" si="4">D4*$D$16</f>
        <v>55396.219566222193</v>
      </c>
      <c r="E21" s="479">
        <f t="shared" ref="E21:E30" si="5">E4*$E$16</f>
        <v>2085.9875587807232</v>
      </c>
      <c r="F21" s="479">
        <f t="shared" ref="F21:F28" si="6">F4*$F$16</f>
        <v>0</v>
      </c>
      <c r="G21" s="479">
        <f t="shared" ref="G21:G30" si="7">G4*$G$16</f>
        <v>0</v>
      </c>
      <c r="H21" s="479">
        <f t="shared" ref="H21:H30" si="8">H4*$H$16</f>
        <v>0</v>
      </c>
      <c r="I21" s="479">
        <f t="shared" ref="I21:I28" si="9">I4*$I$16</f>
        <v>0</v>
      </c>
      <c r="J21" s="479">
        <f t="shared" ref="J21:J28" si="10">J4*$J$16</f>
        <v>3979.5553965799286</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85998.415445938808</v>
      </c>
    </row>
    <row r="22" spans="1:17">
      <c r="A22" s="478" t="s">
        <v>156</v>
      </c>
      <c r="B22" s="479">
        <f t="shared" ca="1" si="2"/>
        <v>25472.14282273364</v>
      </c>
      <c r="C22" s="479">
        <f t="shared" ca="1" si="3"/>
        <v>16.041176470588233</v>
      </c>
      <c r="D22" s="479">
        <f t="shared" ca="1" si="4"/>
        <v>28943.968701780923</v>
      </c>
      <c r="E22" s="479">
        <f t="shared" si="5"/>
        <v>244.9978816937697</v>
      </c>
      <c r="F22" s="479">
        <f t="shared" ca="1" si="6"/>
        <v>4787.1392495193722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59464.289832198301</v>
      </c>
    </row>
    <row r="23" spans="1:17">
      <c r="A23" s="478" t="s">
        <v>194</v>
      </c>
      <c r="B23" s="479">
        <f t="shared" ca="1" si="2"/>
        <v>739.98857723165611</v>
      </c>
      <c r="C23" s="479"/>
      <c r="D23" s="479"/>
      <c r="E23" s="479"/>
      <c r="F23" s="479"/>
      <c r="G23" s="479"/>
      <c r="H23" s="479"/>
      <c r="I23" s="479"/>
      <c r="J23" s="479"/>
      <c r="K23" s="479"/>
      <c r="L23" s="479"/>
      <c r="M23" s="479"/>
      <c r="N23" s="479"/>
      <c r="O23" s="479"/>
      <c r="P23" s="480"/>
      <c r="Q23" s="478">
        <f t="shared" ca="1" si="17"/>
        <v>739.98857723165611</v>
      </c>
    </row>
    <row r="24" spans="1:17">
      <c r="A24" s="478" t="s">
        <v>112</v>
      </c>
      <c r="B24" s="479">
        <f t="shared" ca="1" si="2"/>
        <v>829.23738975830452</v>
      </c>
      <c r="C24" s="479">
        <f t="shared" ca="1" si="3"/>
        <v>0</v>
      </c>
      <c r="D24" s="479">
        <f t="shared" si="4"/>
        <v>2810.0967288586949</v>
      </c>
      <c r="E24" s="479">
        <f t="shared" si="5"/>
        <v>8.4635945135376645</v>
      </c>
      <c r="F24" s="479">
        <f t="shared" si="6"/>
        <v>2726.8981267264394</v>
      </c>
      <c r="G24" s="479">
        <f t="shared" si="7"/>
        <v>0</v>
      </c>
      <c r="H24" s="479">
        <f t="shared" si="8"/>
        <v>0</v>
      </c>
      <c r="I24" s="479">
        <f t="shared" si="9"/>
        <v>0</v>
      </c>
      <c r="J24" s="479">
        <f t="shared" si="10"/>
        <v>218.46486836563329</v>
      </c>
      <c r="K24" s="479">
        <f t="shared" si="11"/>
        <v>0</v>
      </c>
      <c r="L24" s="479">
        <f t="shared" si="12"/>
        <v>0</v>
      </c>
      <c r="M24" s="479">
        <f t="shared" si="13"/>
        <v>0</v>
      </c>
      <c r="N24" s="479">
        <f t="shared" si="14"/>
        <v>0</v>
      </c>
      <c r="O24" s="479">
        <f t="shared" si="15"/>
        <v>0</v>
      </c>
      <c r="P24" s="480">
        <f t="shared" si="16"/>
        <v>0</v>
      </c>
      <c r="Q24" s="478">
        <f t="shared" ca="1" si="17"/>
        <v>6593.1607082226101</v>
      </c>
    </row>
    <row r="25" spans="1:17">
      <c r="A25" s="478" t="s">
        <v>650</v>
      </c>
      <c r="B25" s="479">
        <f t="shared" ca="1" si="2"/>
        <v>15552.714301082717</v>
      </c>
      <c r="C25" s="479">
        <f t="shared" ca="1" si="3"/>
        <v>218.46554621848739</v>
      </c>
      <c r="D25" s="479">
        <f t="shared" si="4"/>
        <v>10676.916005467847</v>
      </c>
      <c r="E25" s="479">
        <f t="shared" si="5"/>
        <v>874.99077873686292</v>
      </c>
      <c r="F25" s="479">
        <f t="shared" si="6"/>
        <v>11375.197003315086</v>
      </c>
      <c r="G25" s="479">
        <f t="shared" si="7"/>
        <v>0</v>
      </c>
      <c r="H25" s="479">
        <f t="shared" si="8"/>
        <v>0</v>
      </c>
      <c r="I25" s="479">
        <f t="shared" si="9"/>
        <v>0</v>
      </c>
      <c r="J25" s="479">
        <f t="shared" si="10"/>
        <v>169.57682776779328</v>
      </c>
      <c r="K25" s="479">
        <f t="shared" si="11"/>
        <v>0</v>
      </c>
      <c r="L25" s="479">
        <f t="shared" si="12"/>
        <v>0</v>
      </c>
      <c r="M25" s="479">
        <f t="shared" si="13"/>
        <v>0</v>
      </c>
      <c r="N25" s="479">
        <f t="shared" si="14"/>
        <v>0</v>
      </c>
      <c r="O25" s="479">
        <f t="shared" si="15"/>
        <v>0</v>
      </c>
      <c r="P25" s="480">
        <f t="shared" si="16"/>
        <v>0</v>
      </c>
      <c r="Q25" s="478">
        <f t="shared" ca="1" si="17"/>
        <v>38867.860462588797</v>
      </c>
    </row>
    <row r="26" spans="1:17" s="484" customFormat="1">
      <c r="A26" s="482" t="s">
        <v>571</v>
      </c>
      <c r="B26" s="836">
        <f t="shared" ca="1" si="2"/>
        <v>13.221122713415902</v>
      </c>
      <c r="C26" s="483"/>
      <c r="D26" s="483">
        <f t="shared" si="4"/>
        <v>38.477642473699049</v>
      </c>
      <c r="E26" s="483">
        <f t="shared" si="5"/>
        <v>287.12950842486248</v>
      </c>
      <c r="F26" s="483"/>
      <c r="G26" s="483">
        <f t="shared" si="7"/>
        <v>109908.03354640446</v>
      </c>
      <c r="H26" s="483">
        <f t="shared" si="8"/>
        <v>17985.587545331862</v>
      </c>
      <c r="I26" s="483"/>
      <c r="J26" s="483"/>
      <c r="K26" s="483"/>
      <c r="L26" s="483"/>
      <c r="M26" s="483">
        <f t="shared" si="13"/>
        <v>0</v>
      </c>
      <c r="N26" s="483"/>
      <c r="O26" s="483"/>
      <c r="P26" s="494"/>
      <c r="Q26" s="482">
        <f t="shared" ca="1" si="17"/>
        <v>128232.44936534829</v>
      </c>
    </row>
    <row r="27" spans="1:17">
      <c r="A27" s="478" t="s">
        <v>561</v>
      </c>
      <c r="B27" s="479">
        <f t="shared" ca="1" si="2"/>
        <v>0</v>
      </c>
      <c r="C27" s="479"/>
      <c r="D27" s="483">
        <f t="shared" si="4"/>
        <v>0</v>
      </c>
      <c r="E27" s="479"/>
      <c r="F27" s="479"/>
      <c r="G27" s="479">
        <f t="shared" si="7"/>
        <v>2575.549913556003</v>
      </c>
      <c r="H27" s="479"/>
      <c r="I27" s="479"/>
      <c r="J27" s="479"/>
      <c r="K27" s="479"/>
      <c r="L27" s="479"/>
      <c r="M27" s="479">
        <f t="shared" si="13"/>
        <v>0</v>
      </c>
      <c r="N27" s="479"/>
      <c r="O27" s="479"/>
      <c r="P27" s="480"/>
      <c r="Q27" s="478">
        <f t="shared" ca="1" si="17"/>
        <v>2575.549913556003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67143.957137875695</v>
      </c>
      <c r="C31" s="489">
        <f t="shared" ca="1" si="18"/>
        <v>234.50672268907562</v>
      </c>
      <c r="D31" s="489">
        <f t="shared" ca="1" si="18"/>
        <v>97865.678644803353</v>
      </c>
      <c r="E31" s="489">
        <f t="shared" si="18"/>
        <v>3501.5693221497559</v>
      </c>
      <c r="F31" s="489">
        <f t="shared" ca="1" si="18"/>
        <v>18889.234379560898</v>
      </c>
      <c r="G31" s="489">
        <f t="shared" si="18"/>
        <v>112483.58345996047</v>
      </c>
      <c r="H31" s="489">
        <f t="shared" si="18"/>
        <v>17985.587545331862</v>
      </c>
      <c r="I31" s="489">
        <f t="shared" si="18"/>
        <v>0</v>
      </c>
      <c r="J31" s="489">
        <f t="shared" si="18"/>
        <v>4367.5970927133558</v>
      </c>
      <c r="K31" s="489">
        <f t="shared" si="18"/>
        <v>0</v>
      </c>
      <c r="L31" s="489">
        <f t="shared" ca="1" si="18"/>
        <v>0</v>
      </c>
      <c r="M31" s="489">
        <f t="shared" si="18"/>
        <v>0</v>
      </c>
      <c r="N31" s="489">
        <f t="shared" ca="1" si="18"/>
        <v>0</v>
      </c>
      <c r="O31" s="489">
        <f t="shared" si="18"/>
        <v>0</v>
      </c>
      <c r="P31" s="490">
        <f t="shared" si="18"/>
        <v>0</v>
      </c>
      <c r="Q31" s="490">
        <f t="shared" ca="1" si="18"/>
        <v>322471.71430508449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0.20600335824945001</v>
      </c>
      <c r="C17" s="529">
        <f ca="1">'EF ele_warmte'!B22</f>
        <v>0.23764705882352941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0.20600335824945001</v>
      </c>
      <c r="C17" s="529">
        <f ca="1">'EF ele_warmte'!B22</f>
        <v>0.23764705882352941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0.20600335824945001</v>
      </c>
      <c r="C29" s="530">
        <f ca="1">'EF ele_warmte'!B22</f>
        <v>0.23764705882352941</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2019-01-01T21:34:07Z</dcterms:modified>
</cp:coreProperties>
</file>