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17" i="49"/>
  <c r="C20" i="16"/>
  <c r="C22" s="1"/>
  <c r="D39" i="14" s="1"/>
  <c r="C18" i="15"/>
  <c r="C20" s="1"/>
  <c r="D36" i="14" s="1"/>
  <c r="C10" i="13"/>
  <c r="C16" i="48" s="1"/>
  <c r="C16" i="22"/>
  <c r="C10" i="17"/>
  <c r="C12" s="1"/>
  <c r="D48" i="14" s="1"/>
  <c r="C56" i="22"/>
  <c r="C58" s="1"/>
  <c r="D44" i="14" s="1"/>
  <c r="D46" s="1"/>
  <c r="C29" i="20"/>
  <c r="N55" i="14"/>
  <c r="O13"/>
  <c r="O1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<sst xmlns="http://schemas.openxmlformats.org/spreadsheetml/2006/main" count="2146" uniqueCount="878">
  <si>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</si>
  <si>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</si>
  <si>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</si>
  <si>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</si>
  <si>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</si>
  <si>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</si>
  <si>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</si>
  <si>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</si>
  <si>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</si>
  <si>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</si>
  <si>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</si>
  <si>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</si>
  <si>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</si>
  <si>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</si>
  <si>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</si>
  <si>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</si>
  <si>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</si>
  <si>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</si>
  <si>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</si>
  <si>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</si>
  <si>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</si>
  <si>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</si>
  <si>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</si>
  <si>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</si>
  <si>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</si>
  <si>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</si>
  <si>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</si>
  <si>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</si>
  <si>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</si>
  <si>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</si>
  <si>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</si>
  <si>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</si>
  <si>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</si>
  <si>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</si>
  <si>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</si>
  <si>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</si>
  <si>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</si>
  <si>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</si>
  <si>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</si>
  <si>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</si>
  <si>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</si>
  <si>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</si>
  <si>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</si>
  <si>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</si>
  <si>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</si>
  <si>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</si>
  <si>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</si>
  <si>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</si>
  <si>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</si>
  <si>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</si>
  <si>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</si>
  <si>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</si>
  <si>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</si>
  <si>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</si>
  <si>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</si>
  <si>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</si>
  <si>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</si>
  <si>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</si>
  <si>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</si>
  <si>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</si>
  <si>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</si>
  <si>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</si>
  <si>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</si>
  <si>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</si>
  <si>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</si>
  <si>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</si>
  <si>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</si>
  <si>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</si>
  <si>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</si>
  <si>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</si>
  <si>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</si>
  <si>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</si>
  <si>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</si>
  <si>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</si>
  <si>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</si>
  <si>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</si>
  <si>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</si>
  <si>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</si>
  <si>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</si>
  <si>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</si>
  <si>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</si>
  <si>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</si>
  <si>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</si>
  <si>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</si>
  <si>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</si>
  <si>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</si>
  <si>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</si>
  <si>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</si>
  <si>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</si>
  <si>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</si>
  <si>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</si>
  <si>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</si>
  <si>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</si>
  <si>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</si>
  <si>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</si>
  <si>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</si>
  <si>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</si>
  <si>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</si>
  <si>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</si>
  <si>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</si>
  <si>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</si>
  <si>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</si>
  <si>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</si>
  <si>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</si>
  <si>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</si>
  <si>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</si>
  <si>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</si>
  <si>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</si>
  <si>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</si>
  <si>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</si>
  <si>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</si>
  <si>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</si>
  <si>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</si>
  <si>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</si>
  <si>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</si>
  <si>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</si>
  <si>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</si>
  <si>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</si>
  <si>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</si>
  <si>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</si>
  <si>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</si>
  <si>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</si>
  <si>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</si>
  <si>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</si>
  <si>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</si>
  <si>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</si>
  <si>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</si>
  <si>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</si>
  <si>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</si>
  <si>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</si>
  <si>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</si>
  <si>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</si>
  <si>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</si>
  <si>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</si>
  <si>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</si>
  <si>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</si>
  <si>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</si>
  <si>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</si>
  <si>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</si>
  <si>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</si>
  <si>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</si>
  <si>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</si>
  <si>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</si>
  <si>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</si>
  <si>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</si>
  <si>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</si>
  <si>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</si>
  <si>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</si>
  <si>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</si>
  <si>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</si>
  <si>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</si>
  <si>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</si>
  <si>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</si>
  <si>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</si>
  <si>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</si>
  <si>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</si>
  <si>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</si>
  <si>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</si>
  <si>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</si>
  <si>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</si>
  <si>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</si>
  <si>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</si>
  <si>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</si>
  <si>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</si>
  <si>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</si>
  <si>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</si>
  <si>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</si>
  <si>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</si>
  <si>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</si>
  <si>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</si>
  <si>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</si>
  <si>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</si>
  <si>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</si>
  <si>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</si>
  <si>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</si>
  <si>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</si>
  <si>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</si>
  <si>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</si>
  <si>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</si>
  <si>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</si>
  <si>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</si>
  <si>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</si>
  <si>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</si>
  <si>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</si>
  <si>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</si>
  <si>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</si>
  <si>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</si>
  <si>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</si>
  <si>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</si>
  <si>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</si>
  <si>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</si>
  <si>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</si>
  <si>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</si>
  <si>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</si>
  <si>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</si>
  <si>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</si>
  <si>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</si>
  <si>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</si>
  <si>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</si>
  <si>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</si>
  <si>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</si>
  <si>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</si>
  <si>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</si>
  <si>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</si>
  <si>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</si>
  <si>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</si>
  <si>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</si>
  <si>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</si>
  <si>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</si>
  <si>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</si>
  <si>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</si>
  <si>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</si>
  <si>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</si>
  <si>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</si>
  <si>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</si>
  <si>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</si>
  <si>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</si>
  <si>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</si>
  <si>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</si>
  <si>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</si>
  <si>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</si>
  <si>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</si>
  <si>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</si>
  <si>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</si>
  <si>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</si>
  <si>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</si>
  <si>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</si>
  <si>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</si>
  <si>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</si>
  <si>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</si>
  <si>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</si>
  <si>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</si>
  <si>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</si>
  <si>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</si>
  <si>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</si>
  <si>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</si>
  <si>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</si>
  <si>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</si>
  <si>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</si>
  <si>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</si>
  <si>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</si>
  <si>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</si>
  <si>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</si>
  <si>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</si>
  <si>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</si>
  <si>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</si>
  <si>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</si>
  <si>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</si>
  <si>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</si>
  <si>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</si>
  <si>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</si>
  <si>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</si>
  <si>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</si>
  <si>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</si>
  <si>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</si>
  <si>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</si>
  <si>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</si>
  <si>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</si>
  <si>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</si>
  <si>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</si>
  <si>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</si>
  <si>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</si>
  <si>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</si>
  <si>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</si>
  <si>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</si>
  <si>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</si>
  <si>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</si>
  <si>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</si>
  <si>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</si>
  <si>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</si>
  <si>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</si>
  <si>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</si>
  <si>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</si>
  <si>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</si>
  <si>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</si>
  <si>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</si>
  <si>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</si>
  <si>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</si>
  <si>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</si>
  <si>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</si>
  <si>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</si>
  <si>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</si>
  <si>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</si>
  <si>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</si>
  <si>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</si>
  <si>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</si>
  <si>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</si>
  <si>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</si>
  <si>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</si>
  <si>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</si>
  <si>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</si>
  <si>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</si>
  <si>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</si>
  <si>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</si>
  <si>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</si>
  <si>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</si>
  <si>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</si>
  <si>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</si>
  <si>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</si>
  <si>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</si>
  <si>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</si>
  <si>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</si>
  <si>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</si>
  <si>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</si>
  <si>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</si>
  <si>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</si>
  <si>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</si>
  <si>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</si>
  <si>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</si>
  <si>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</si>
  <si>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</si>
  <si>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</si>
  <si>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</si>
  <si>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</si>
  <si>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</si>
  <si>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</si>
  <si>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</si>
  <si>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</si>
  <si>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</si>
  <si>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</si>
  <si>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</si>
  <si>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</si>
  <si>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</si>
  <si>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</si>
  <si>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</si>
  <si>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</si>
  <si>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</si>
  <si>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</si>
  <si>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</si>
  <si>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</si>
  <si>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</si>
  <si>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</si>
  <si>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</si>
  <si>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</si>
  <si>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</si>
  <si>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</si>
  <si>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</si>
  <si>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</si>
  <si>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</si>
  <si>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</si>
  <si>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</si>
  <si>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</si>
  <si>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</si>
  <si>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</si>
  <si>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</si>
  <si>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</si>
  <si>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</si>
  <si>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</si>
  <si>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</si>
  <si>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</si>
  <si>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</si>
  <si>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</si>
  <si>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</si>
  <si>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</si>
  <si>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</si>
  <si>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</si>
  <si>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</si>
  <si>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</si>
  <si>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</si>
  <si>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</si>
  <si>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</si>
  <si>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</si>
  <si>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</si>
  <si>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</si>
  <si>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</si>
  <si>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</si>
  <si>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</si>
  <si>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</si>
  <si>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</si>
  <si>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</si>
  <si>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</si>
  <si>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</si>
  <si>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</si>
  <si>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</si>
  <si>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</si>
  <si>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</si>
  <si>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</si>
  <si>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</si>
  <si>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</si>
  <si>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</si>
  <si>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</si>
  <si>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</si>
  <si>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</si>
  <si>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</si>
  <si>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</si>
  <si>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</si>
  <si>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</si>
  <si>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</si>
  <si>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</si>
  <si>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</si>
  <si>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</si>
  <si>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</si>
  <si>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</si>
  <si>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</si>
  <si>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</si>
  <si>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</si>
  <si>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</si>
  <si>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</si>
  <si>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</si>
  <si>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</si>
  <si>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</si>
  <si>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</si>
  <si>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</si>
  <si>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</si>
  <si>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</si>
  <si>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</si>
  <si>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</si>
  <si>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</si>
  <si>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</si>
  <si>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</si>
  <si>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</si>
  <si>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</si>
  <si>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</si>
  <si>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</si>
  <si>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</si>
  <si>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</si>
  <si>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</si>
  <si>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</si>
  <si>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</si>
  <si>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</si>
  <si>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</si>
  <si>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</si>
  <si>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</si>
  <si>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</si>
  <si>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</si>
  <si>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</si>
  <si>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</si>
  <si>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</si>
  <si>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</si>
  <si>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</si>
  <si>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</si>
  <si>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</si>
  <si>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</si>
  <si>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</si>
  <si>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</si>
  <si>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</si>
  <si>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</si>
  <si>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</si>
  <si>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</si>
  <si>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</si>
  <si>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</si>
  <si>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</si>
  <si>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</si>
  <si>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</si>
  <si>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</si>
  <si>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</si>
  <si>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</si>
  <si>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</si>
  <si>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</si>
  <si>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</si>
  <si>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</si>
  <si>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</si>
  <si>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</si>
  <si>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</si>
  <si>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</si>
  <si>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</si>
  <si>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</si>
  <si>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</si>
  <si>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</si>
  <si>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</si>
  <si>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</si>
  <si>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</si>
  <si>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</si>
  <si>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</si>
  <si>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</si>
  <si>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</si>
  <si>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</si>
  <si>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</si>
  <si>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</si>
  <si>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</si>
  <si>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</si>
  <si>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</si>
  <si>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</si>
  <si>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</si>
  <si>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</si>
  <si>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</si>
  <si>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</si>
  <si>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</si>
  <si>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</si>
  <si>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</si>
  <si>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</si>
  <si>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</si>
  <si>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</si>
  <si>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</si>
  <si>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</si>
  <si>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</si>
  <si>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</si>
  <si>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</si>
  <si>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</si>
  <si>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</si>
  <si>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</si>
  <si>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</si>
  <si>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</si>
  <si>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</si>
  <si>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</si>
  <si>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</si>
  <si>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</si>
  <si>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</si>
  <si>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</si>
  <si>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</si>
  <si>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</si>
  <si>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</si>
  <si>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</si>
  <si>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</si>
  <si>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</si>
  <si>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</si>
  <si>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</si>
  <si>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</si>
  <si>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</si>
  <si>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</si>
  <si>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</si>
  <si>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</si>
  <si>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</si>
  <si>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</si>
  <si>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</si>
  <si>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</si>
  <si>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</si>
  <si>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</si>
  <si>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</si>
  <si>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</si>
  <si>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</si>
  <si>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</si>
  <si>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</si>
  <si>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</si>
  <si>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</si>
  <si>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</si>
  <si>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</si>
  <si>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</si>
  <si>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</si>
  <si>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</si>
  <si>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</si>
  <si>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</si>
  <si>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</si>
  <si>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</si>
  <si>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</si>
  <si>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</si>
  <si>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</si>
  <si>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</si>
  <si>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</si>
  <si>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</si>
  <si>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</si>
  <si>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</si>
  <si>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</si>
  <si>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</si>
  <si>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</si>
  <si>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</si>
  <si>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</si>
  <si>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</si>
  <si>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</si>
  <si>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</si>
  <si>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</si>
  <si>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</si>
  <si>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</si>
  <si>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</si>
  <si>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</si>
  <si>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</si>
  <si>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</si>
  <si>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</si>
  <si>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</si>
  <si>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</si>
  <si>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</si>
  <si>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</si>
  <si>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</si>
  <si>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</si>
  <si>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</si>
  <si>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</si>
  <si>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</si>
  <si>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</si>
  <si>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</si>
  <si>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</si>
  <si>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</si>
  <si>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</si>
  <si>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</si>
  <si>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</si>
  <si>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</si>
  <si>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</si>
  <si>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</si>
  <si>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</si>
  <si>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</si>
  <si>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</si>
  <si>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</si>
  <si>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</si>
  <si>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</si>
  <si>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</si>
  <si>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</si>
  <si>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</si>
  <si>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</si>
  <si>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</si>
  <si>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</si>
  <si>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</si>
  <si>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</si>
  <si>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</si>
  <si>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</si>
  <si>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</si>
  <si>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</si>
  <si>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</si>
  <si>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</si>
  <si>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</si>
  <si>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</si>
  <si>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</si>
  <si>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</si>
  <si>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</si>
  <si>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</si>
  <si>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</si>
  <si>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</si>
  <si>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</si>
  <si>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</si>
  <si>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</si>
  <si>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</si>
  <si>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</si>
  <si>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</si>
  <si>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</si>
  <si>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</si>
  <si>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</si>
  <si>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</si>
  <si>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</si>
  <si>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</si>
  <si>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</si>
  <si>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</si>
  <si>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</si>
  <si>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</si>
  <si>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</si>
  <si>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</si>
  <si>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</si>
  <si>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</si>
  <si>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</si>
  <si>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</si>
  <si>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</si>
  <si>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</si>
  <si>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</si>
  <si>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</si>
  <si>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</si>
  <si>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</si>
  <si>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</si>
  <si>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</si>
  <si>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</si>
  <si>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</si>
  <si>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</si>
  <si>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</si>
  <si>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</si>
  <si>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</si>
  <si>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</si>
  <si>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</si>
  <si>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</si>
  <si>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</si>
  <si>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</si>
  <si>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</si>
  <si>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</si>
  <si>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</si>
  <si>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</si>
  <si>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</si>
  <si>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</si>
  <si>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</si>
  <si>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</si>
  <si>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</si>
  <si>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</si>
  <si>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</si>
  <si>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</si>
  <si>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</si>
  <si>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</si>
  <si>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</si>
  <si>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</si>
  <si>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</si>
  <si>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</si>
  <si>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</si>
  <si>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</si>
  <si>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</si>
  <si>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</si>
  <si>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</si>
  <si>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</si>
  <si>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</si>
  <si>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</si>
  <si>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</si>
  <si>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</si>
  <si>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</si>
  <si>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</si>
  <si>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</si>
  <si>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</si>
  <si>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</si>
  <si>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</si>
  <si>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</si>
  <si>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</si>
  <si>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</si>
  <si>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</si>
  <si>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</si>
  <si>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</si>
  <si>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</si>
  <si>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</si>
  <si>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</si>
  <si>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</si>
  <si>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</si>
  <si>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</si>
  <si>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</si>
  <si>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</si>
  <si>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</si>
  <si>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</si>
  <si>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</si>
  <si>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</si>
  <si>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</si>
  <si>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</si>
  <si>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</si>
  <si>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</si>
  <si>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</si>
  <si>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</si>
  <si>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</si>
  <si>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</si>
  <si>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</si>
  <si>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</si>
  <si>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</si>
  <si>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</si>
  <si>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</si>
  <si>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</si>
  <si>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</si>
  <si>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</si>
  <si>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</si>
  <si>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</si>
  <si>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</si>
  <si>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</si>
  <si>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</si>
  <si>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</si>
  <si>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</si>
  <si>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</si>
  <si>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</si>
  <si>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</si>
  <si>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</si>
  <si>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</si>
  <si>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</si>
  <si>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</si>
  <si>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</si>
  <si>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</si>
  <si>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</si>
  <si>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</si>
  <si>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</si>
  <si>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</si>
  <si>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</si>
  <si>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</si>
  <si>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</si>
  <si>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</si>
  <si>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</si>
  <si>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</si>
  <si>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</si>
  <si>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</si>
  <si>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</si>
  <si>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</si>
  <si>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</si>
  <si>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</si>
  <si>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</si>
  <si>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</si>
  <si>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</si>
  <si>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</si>
  <si>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</si>
  <si>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</si>
  <si>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</si>
  <si>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</si>
  <si>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</si>
  <si>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</si>
  <si>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</si>
  <si>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</si>
  <si>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</si>
  <si>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</si>
  <si>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</si>
  <si>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</si>
  <si>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</si>
  <si>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</si>
  <si>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</si>
  <si>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</si>
  <si>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</si>
  <si>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</si>
  <si>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</si>
  <si>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</si>
  <si>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</si>
  <si>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</si>
  <si>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</si>
  <si>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</si>
  <si>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</si>
  <si>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</si>
  <si>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</si>
  <si>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</si>
  <si>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</si>
  <si>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</si>
  <si>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</si>
  <si>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</si>
  <si>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</si>
  <si>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</si>
  <si>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</si>
  <si>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</si>
  <si>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</si>
  <si>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</si>
  <si>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</si>
  <si>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</si>
  <si>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</si>
  <si>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</si>
  <si>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</si>
  <si>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</si>
  <si>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</si>
  <si>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</si>
  <si>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</si>
  <si>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</si>
  <si>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</si>
  <si>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</si>
  <si>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</si>
  <si>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</si>
  <si>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</si>
  <si>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</si>
  <si>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</si>
  <si>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</si>
  <si>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</si>
  <si>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</si>
  <si>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</si>
  <si>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</si>
  <si>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</si>
  <si>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</si>
  <si>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</si>
  <si>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</si>
  <si>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</si>
  <si>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</si>
  <si>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</si>
  <si>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</si>
  <si>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</si>
  <si>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</si>
  <si>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</si>
  <si>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</si>
  <si>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</si>
  <si>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</si>
  <si>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</si>
  <si>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</si>
  <si>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</si>
  <si>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</si>
  <si>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</si>
  <si>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</si>
  <si>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</si>
  <si>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</si>
  <si>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</si>
  <si>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</si>
  <si>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</si>
  <si>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</si>
  <si>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</si>
  <si>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</si>
  <si>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</si>
  <si>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</si>
  <si>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</si>
  <si>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</si>
  <si>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</si>
  <si>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</si>
  <si>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</si>
  <si>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</si>
  <si>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</si>
  <si>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</si>
  <si>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</si>
  <si>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</si>
  <si>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</si>
  <si>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</si>
  <si>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</si>
  <si>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</si>
  <si>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</si>
  <si>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</si>
  <si>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</si>
  <si>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</si>
  <si>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</si>
  <si>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</si>
  <si>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</si>
  <si>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</si>
  <si>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</si>
  <si>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46014</t>
  </si>
  <si>
    <t>LOKEREN</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</si>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</sst>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257839.75972181844</c:v>
                </c:pt>
                <c:pt idx="1">
                  <c:v>180381.24387372399</c:v>
                </c:pt>
                <c:pt idx="2">
                  <c:v>2579.2570000000001</c:v>
                </c:pt>
                <c:pt idx="3">
                  <c:v>23326.234551419526</c:v>
                </c:pt>
                <c:pt idx="4">
                  <c:v>216091.66936078126</c:v>
                </c:pt>
                <c:pt idx="5">
                  <c:v>444163.66923106916</c:v>
                </c:pt>
                <c:pt idx="6">
                  <c:v>2050.8146531676894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60384"/>
        <c:axId val="165762176"/>
      </c:barChart>
      <c:catAx>
        <c:axId val="165760384"/>
        <c:scaling>
          <c:orientation val="minMax"/>
        </c:scaling>
        <c:axPos val="b"/>
        <c:numFmt formatCode="General" sourceLinked="0"/>
        <c:tickLblPos val="nextTo"/>
        <c:crossAx val="165762176"/>
        <c:crosses val="autoZero"/>
        <c:auto val="1"/>
        <c:lblAlgn val="ctr"/>
        <c:lblOffset val="100"/>
      </c:catAx>
      <c:valAx>
        <c:axId val="165762176"/>
        <c:scaling>
          <c:orientation val="minMax"/>
        </c:scaling>
        <c:axPos val="l"/>
        <c:majorGridlines/>
        <c:numFmt formatCode="#,##0" sourceLinked="1"/>
        <c:tickLblPos val="nextTo"/>
        <c:crossAx val="16576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257839.75972181844</c:v>
                </c:pt>
                <c:pt idx="1">
                  <c:v>180381.24387372399</c:v>
                </c:pt>
                <c:pt idx="2">
                  <c:v>2579.2570000000001</c:v>
                </c:pt>
                <c:pt idx="3">
                  <c:v>23326.234551419526</c:v>
                </c:pt>
                <c:pt idx="4">
                  <c:v>216091.66936078126</c:v>
                </c:pt>
                <c:pt idx="5">
                  <c:v>444163.66923106916</c:v>
                </c:pt>
                <c:pt idx="6">
                  <c:v>2050.8146531676894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46395.385953297031</c:v>
                </c:pt>
                <c:pt idx="1">
                  <c:v>35797.288667500012</c:v>
                </c:pt>
                <c:pt idx="2">
                  <c:v>531.1624030178167</c:v>
                </c:pt>
                <c:pt idx="3">
                  <c:v>5391.5396829119645</c:v>
                </c:pt>
                <c:pt idx="4">
                  <c:v>43530.262166286062</c:v>
                </c:pt>
                <c:pt idx="5">
                  <c:v>111470.58533468161</c:v>
                </c:pt>
                <c:pt idx="6">
                  <c:v>518.02599975699752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64864"/>
        <c:axId val="180211712"/>
      </c:barChart>
      <c:catAx>
        <c:axId val="180164864"/>
        <c:scaling>
          <c:orientation val="minMax"/>
        </c:scaling>
        <c:axPos val="b"/>
        <c:numFmt formatCode="General" sourceLinked="0"/>
        <c:tickLblPos val="nextTo"/>
        <c:crossAx val="180211712"/>
        <c:crosses val="autoZero"/>
        <c:auto val="1"/>
        <c:lblAlgn val="ctr"/>
        <c:lblOffset val="100"/>
      </c:catAx>
      <c:valAx>
        <c:axId val="180211712"/>
        <c:scaling>
          <c:orientation val="minMax"/>
        </c:scaling>
        <c:axPos val="l"/>
        <c:majorGridlines/>
        <c:numFmt formatCode="#,##0" sourceLinked="1"/>
        <c:tickLblPos val="nextTo"/>
        <c:crossAx val="180164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46395.385953297031</c:v>
                </c:pt>
                <c:pt idx="1">
                  <c:v>35797.288667500012</c:v>
                </c:pt>
                <c:pt idx="2">
                  <c:v>531.1624030178167</c:v>
                </c:pt>
                <c:pt idx="3">
                  <c:v>5391.5396829119645</c:v>
                </c:pt>
                <c:pt idx="4">
                  <c:v>43530.262166286062</c:v>
                </c:pt>
                <c:pt idx="5">
                  <c:v>111470.58533468161</c:v>
                </c:pt>
                <c:pt idx="6">
                  <c:v>518.02599975699752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46014</v>
      </c>
      <c r="B6" s="416"/>
      <c r="C6" s="417"/>
    </row>
    <row r="7" spans="1:7" s="414" customFormat="1" ht="15.75" customHeight="1">
      <c r="A7" s="418" t="str">
        <f>txtMunicipality</f>
        <v>LOKEREN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16230</v>
      </c>
      <c r="C9" s="342">
        <v>17109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3549</v>
      </c>
    </row>
    <row r="15" spans="1:6">
      <c r="A15" s="348" t="s">
        <v>184</v>
      </c>
      <c r="B15" s="334">
        <v>56</v>
      </c>
    </row>
    <row r="16" spans="1:6">
      <c r="A16" s="348" t="s">
        <v>6</v>
      </c>
      <c r="B16" s="334">
        <v>2359</v>
      </c>
    </row>
    <row r="17" spans="1:6">
      <c r="A17" s="348" t="s">
        <v>7</v>
      </c>
      <c r="B17" s="334">
        <v>1389</v>
      </c>
    </row>
    <row r="18" spans="1:6">
      <c r="A18" s="348" t="s">
        <v>8</v>
      </c>
      <c r="B18" s="334">
        <v>2555</v>
      </c>
    </row>
    <row r="19" spans="1:6">
      <c r="A19" s="348" t="s">
        <v>9</v>
      </c>
      <c r="B19" s="334">
        <v>3329</v>
      </c>
    </row>
    <row r="20" spans="1:6">
      <c r="A20" s="348" t="s">
        <v>10</v>
      </c>
      <c r="B20" s="334">
        <v>2124</v>
      </c>
    </row>
    <row r="21" spans="1:6">
      <c r="A21" s="348" t="s">
        <v>11</v>
      </c>
      <c r="B21" s="334">
        <v>6173</v>
      </c>
    </row>
    <row r="22" spans="1:6">
      <c r="A22" s="348" t="s">
        <v>12</v>
      </c>
      <c r="B22" s="334">
        <v>12766</v>
      </c>
    </row>
    <row r="23" spans="1:6">
      <c r="A23" s="348" t="s">
        <v>13</v>
      </c>
      <c r="B23" s="334">
        <v>263</v>
      </c>
    </row>
    <row r="24" spans="1:6">
      <c r="A24" s="348" t="s">
        <v>14</v>
      </c>
      <c r="B24" s="334">
        <v>11</v>
      </c>
    </row>
    <row r="25" spans="1:6">
      <c r="A25" s="348" t="s">
        <v>15</v>
      </c>
      <c r="B25" s="334">
        <v>1354</v>
      </c>
    </row>
    <row r="26" spans="1:6">
      <c r="A26" s="348" t="s">
        <v>16</v>
      </c>
      <c r="B26" s="334">
        <v>96</v>
      </c>
    </row>
    <row r="27" spans="1:6">
      <c r="A27" s="348" t="s">
        <v>17</v>
      </c>
      <c r="B27" s="334">
        <v>96</v>
      </c>
    </row>
    <row r="28" spans="1:6" s="356" customFormat="1">
      <c r="A28" s="355" t="s">
        <v>18</v>
      </c>
      <c r="B28" s="355">
        <v>149916</v>
      </c>
    </row>
    <row r="29" spans="1:6">
      <c r="A29" s="355" t="s">
        <v>865</v>
      </c>
      <c r="B29" s="355">
        <v>227</v>
      </c>
      <c r="C29" s="356"/>
      <c r="D29" s="356"/>
      <c r="E29" s="356"/>
      <c r="F29" s="356"/>
    </row>
    <row r="30" spans="1:6">
      <c r="A30" s="341" t="s">
        <v>866</v>
      </c>
      <c r="B30" s="341">
        <v>54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5446.2640000000001</v>
      </c>
    </row>
    <row r="36" spans="1:6">
      <c r="A36" s="348" t="s">
        <v>25</v>
      </c>
      <c r="B36" s="348" t="s">
        <v>27</v>
      </c>
      <c r="C36" s="334">
        <v>3</v>
      </c>
      <c r="D36" s="334">
        <v>1085538.9431729501</v>
      </c>
      <c r="E36" s="334">
        <v>5</v>
      </c>
      <c r="F36" s="334">
        <v>787615.2</v>
      </c>
    </row>
    <row r="37" spans="1:6">
      <c r="A37" s="348" t="s">
        <v>25</v>
      </c>
      <c r="B37" s="348" t="s">
        <v>28</v>
      </c>
      <c r="C37" s="334">
        <v>0</v>
      </c>
      <c r="D37" s="334">
        <v>0</v>
      </c>
      <c r="E37" s="334">
        <v>0</v>
      </c>
      <c r="F37" s="334">
        <v>0</v>
      </c>
    </row>
    <row r="38" spans="1:6">
      <c r="A38" s="348" t="s">
        <v>25</v>
      </c>
      <c r="B38" s="348" t="s">
        <v>29</v>
      </c>
      <c r="C38" s="334">
        <v>1</v>
      </c>
      <c r="D38" s="334">
        <v>145225.93124272401</v>
      </c>
      <c r="E38" s="334">
        <v>0</v>
      </c>
      <c r="F38" s="334">
        <v>0</v>
      </c>
    </row>
    <row r="39" spans="1:6">
      <c r="A39" s="348" t="s">
        <v>30</v>
      </c>
      <c r="B39" s="348" t="s">
        <v>31</v>
      </c>
      <c r="C39" s="334">
        <v>10911</v>
      </c>
      <c r="D39" s="334">
        <v>149284737.242686</v>
      </c>
      <c r="E39" s="334">
        <v>16107</v>
      </c>
      <c r="F39" s="334">
        <v>66827746</v>
      </c>
    </row>
    <row r="40" spans="1:6">
      <c r="A40" s="348" t="s">
        <v>30</v>
      </c>
      <c r="B40" s="348" t="s">
        <v>29</v>
      </c>
      <c r="C40" s="334">
        <v>0</v>
      </c>
      <c r="D40" s="334">
        <v>0</v>
      </c>
      <c r="E40" s="334">
        <v>0</v>
      </c>
      <c r="F40" s="334">
        <v>0</v>
      </c>
    </row>
    <row r="41" spans="1:6">
      <c r="A41" s="348" t="s">
        <v>32</v>
      </c>
      <c r="B41" s="348" t="s">
        <v>33</v>
      </c>
      <c r="C41" s="334">
        <v>174</v>
      </c>
      <c r="D41" s="334">
        <v>5478977.79169486</v>
      </c>
      <c r="E41" s="334">
        <v>342</v>
      </c>
      <c r="F41" s="334">
        <v>17329883</v>
      </c>
    </row>
    <row r="42" spans="1:6">
      <c r="A42" s="348" t="s">
        <v>32</v>
      </c>
      <c r="B42" s="348" t="s">
        <v>34</v>
      </c>
      <c r="C42" s="334">
        <v>0</v>
      </c>
      <c r="D42" s="334">
        <v>0</v>
      </c>
      <c r="E42" s="334">
        <v>3</v>
      </c>
      <c r="F42" s="334">
        <v>157791.1</v>
      </c>
    </row>
    <row r="43" spans="1:6">
      <c r="A43" s="348" t="s">
        <v>32</v>
      </c>
      <c r="B43" s="348" t="s">
        <v>35</v>
      </c>
      <c r="C43" s="334">
        <v>0</v>
      </c>
      <c r="D43" s="334">
        <v>0</v>
      </c>
      <c r="E43" s="334">
        <v>0</v>
      </c>
      <c r="F43" s="334">
        <v>0</v>
      </c>
    </row>
    <row r="44" spans="1:6">
      <c r="A44" s="348" t="s">
        <v>32</v>
      </c>
      <c r="B44" s="348" t="s">
        <v>36</v>
      </c>
      <c r="C44" s="334">
        <v>26</v>
      </c>
      <c r="D44" s="334">
        <v>9867850.2363645807</v>
      </c>
      <c r="E44" s="334">
        <v>53</v>
      </c>
      <c r="F44" s="334">
        <v>5107166</v>
      </c>
    </row>
    <row r="45" spans="1:6">
      <c r="A45" s="348" t="s">
        <v>32</v>
      </c>
      <c r="B45" s="348" t="s">
        <v>37</v>
      </c>
      <c r="C45" s="334">
        <v>0</v>
      </c>
      <c r="D45" s="334">
        <v>0</v>
      </c>
      <c r="E45" s="334">
        <v>6</v>
      </c>
      <c r="F45" s="334">
        <v>324587.8</v>
      </c>
    </row>
    <row r="46" spans="1:6">
      <c r="A46" s="348" t="s">
        <v>32</v>
      </c>
      <c r="B46" s="348" t="s">
        <v>38</v>
      </c>
      <c r="C46" s="334">
        <v>0</v>
      </c>
      <c r="D46" s="334">
        <v>0</v>
      </c>
      <c r="E46" s="334">
        <v>0</v>
      </c>
      <c r="F46" s="334">
        <v>0</v>
      </c>
    </row>
    <row r="47" spans="1:6">
      <c r="A47" s="348" t="s">
        <v>32</v>
      </c>
      <c r="B47" s="348" t="s">
        <v>39</v>
      </c>
      <c r="C47" s="334">
        <v>3</v>
      </c>
      <c r="D47" s="334">
        <v>165525.50098582599</v>
      </c>
      <c r="E47" s="334">
        <v>5</v>
      </c>
      <c r="F47" s="334">
        <v>250209.8</v>
      </c>
    </row>
    <row r="48" spans="1:6">
      <c r="A48" s="348" t="s">
        <v>32</v>
      </c>
      <c r="B48" s="348" t="s">
        <v>29</v>
      </c>
      <c r="C48" s="334">
        <v>46</v>
      </c>
      <c r="D48" s="334">
        <v>10624114.266501401</v>
      </c>
      <c r="E48" s="334">
        <v>59</v>
      </c>
      <c r="F48" s="334">
        <v>35453817</v>
      </c>
    </row>
    <row r="49" spans="1:6">
      <c r="A49" s="348" t="s">
        <v>32</v>
      </c>
      <c r="B49" s="348" t="s">
        <v>40</v>
      </c>
      <c r="C49" s="334">
        <v>3</v>
      </c>
      <c r="D49" s="334">
        <v>4553808.1697106501</v>
      </c>
      <c r="E49" s="334">
        <v>0</v>
      </c>
      <c r="F49" s="334">
        <v>0</v>
      </c>
    </row>
    <row r="50" spans="1:6">
      <c r="A50" s="348" t="s">
        <v>32</v>
      </c>
      <c r="B50" s="348" t="s">
        <v>41</v>
      </c>
      <c r="C50" s="334">
        <v>40</v>
      </c>
      <c r="D50" s="334">
        <v>22489970.3385951</v>
      </c>
      <c r="E50" s="334">
        <v>60</v>
      </c>
      <c r="F50" s="334">
        <v>19356957</v>
      </c>
    </row>
    <row r="51" spans="1:6">
      <c r="A51" s="348" t="s">
        <v>42</v>
      </c>
      <c r="B51" s="348" t="s">
        <v>43</v>
      </c>
      <c r="C51" s="334">
        <v>44</v>
      </c>
      <c r="D51" s="334">
        <v>4246351.2316533802</v>
      </c>
      <c r="E51" s="334">
        <v>196</v>
      </c>
      <c r="F51" s="334">
        <v>3390407</v>
      </c>
    </row>
    <row r="52" spans="1:6">
      <c r="A52" s="348" t="s">
        <v>42</v>
      </c>
      <c r="B52" s="348" t="s">
        <v>29</v>
      </c>
      <c r="C52" s="334">
        <v>8</v>
      </c>
      <c r="D52" s="334">
        <v>1336404.02849404</v>
      </c>
      <c r="E52" s="334">
        <v>12</v>
      </c>
      <c r="F52" s="334">
        <v>207711.6</v>
      </c>
    </row>
    <row r="53" spans="1:6">
      <c r="A53" s="348" t="s">
        <v>44</v>
      </c>
      <c r="B53" s="348" t="s">
        <v>45</v>
      </c>
      <c r="C53" s="334">
        <v>292</v>
      </c>
      <c r="D53" s="334">
        <v>5450157.6683092602</v>
      </c>
      <c r="E53" s="334">
        <v>563</v>
      </c>
      <c r="F53" s="334">
        <v>2190892</v>
      </c>
    </row>
    <row r="54" spans="1:6">
      <c r="A54" s="348" t="s">
        <v>46</v>
      </c>
      <c r="B54" s="348" t="s">
        <v>47</v>
      </c>
      <c r="C54" s="334">
        <v>0</v>
      </c>
      <c r="D54" s="334">
        <v>0</v>
      </c>
      <c r="E54" s="334">
        <v>6</v>
      </c>
      <c r="F54" s="334">
        <v>2579257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121</v>
      </c>
      <c r="D57" s="334">
        <v>21708817.682917401</v>
      </c>
      <c r="E57" s="334">
        <v>254</v>
      </c>
      <c r="F57" s="334">
        <v>9540657</v>
      </c>
    </row>
    <row r="58" spans="1:6">
      <c r="A58" s="348" t="s">
        <v>49</v>
      </c>
      <c r="B58" s="348" t="s">
        <v>51</v>
      </c>
      <c r="C58" s="334">
        <v>78</v>
      </c>
      <c r="D58" s="334">
        <v>8094269.0889665503</v>
      </c>
      <c r="E58" s="334">
        <v>122</v>
      </c>
      <c r="F58" s="334">
        <v>2557878</v>
      </c>
    </row>
    <row r="59" spans="1:6">
      <c r="A59" s="348" t="s">
        <v>49</v>
      </c>
      <c r="B59" s="348" t="s">
        <v>52</v>
      </c>
      <c r="C59" s="334">
        <v>269</v>
      </c>
      <c r="D59" s="334">
        <v>34541223.308936499</v>
      </c>
      <c r="E59" s="334">
        <v>556</v>
      </c>
      <c r="F59" s="334">
        <v>33714104</v>
      </c>
    </row>
    <row r="60" spans="1:6">
      <c r="A60" s="348" t="s">
        <v>49</v>
      </c>
      <c r="B60" s="348" t="s">
        <v>53</v>
      </c>
      <c r="C60" s="334">
        <v>129</v>
      </c>
      <c r="D60" s="334">
        <v>5565612.3618545597</v>
      </c>
      <c r="E60" s="334">
        <v>169</v>
      </c>
      <c r="F60" s="334">
        <v>4343613</v>
      </c>
    </row>
    <row r="61" spans="1:6">
      <c r="A61" s="348" t="s">
        <v>49</v>
      </c>
      <c r="B61" s="348" t="s">
        <v>54</v>
      </c>
      <c r="C61" s="334">
        <v>309</v>
      </c>
      <c r="D61" s="334">
        <v>10492489.542649601</v>
      </c>
      <c r="E61" s="334">
        <v>638</v>
      </c>
      <c r="F61" s="334">
        <v>8985703</v>
      </c>
    </row>
    <row r="62" spans="1:6">
      <c r="A62" s="348" t="s">
        <v>49</v>
      </c>
      <c r="B62" s="348" t="s">
        <v>55</v>
      </c>
      <c r="C62" s="334">
        <v>28</v>
      </c>
      <c r="D62" s="334">
        <v>4073251.9425143399</v>
      </c>
      <c r="E62" s="334">
        <v>38</v>
      </c>
      <c r="F62" s="334">
        <v>1764180</v>
      </c>
    </row>
    <row r="63" spans="1:6">
      <c r="A63" s="348" t="s">
        <v>49</v>
      </c>
      <c r="B63" s="348" t="s">
        <v>29</v>
      </c>
      <c r="C63" s="334">
        <v>102</v>
      </c>
      <c r="D63" s="334">
        <v>17607018.682290401</v>
      </c>
      <c r="E63" s="334">
        <v>104</v>
      </c>
      <c r="F63" s="334">
        <v>8310628</v>
      </c>
    </row>
    <row r="64" spans="1:6">
      <c r="A64" s="348" t="s">
        <v>56</v>
      </c>
      <c r="B64" s="348" t="s">
        <v>57</v>
      </c>
      <c r="C64" s="334">
        <v>0</v>
      </c>
      <c r="D64" s="334">
        <v>0</v>
      </c>
      <c r="E64" s="334">
        <v>0</v>
      </c>
      <c r="F64" s="334">
        <v>0</v>
      </c>
    </row>
    <row r="65" spans="1:6">
      <c r="A65" s="348" t="s">
        <v>56</v>
      </c>
      <c r="B65" s="348" t="s">
        <v>29</v>
      </c>
      <c r="C65" s="334">
        <v>2</v>
      </c>
      <c r="D65" s="334">
        <v>33545.416662328797</v>
      </c>
      <c r="E65" s="334">
        <v>2</v>
      </c>
      <c r="F65" s="334">
        <v>16047.26</v>
      </c>
    </row>
    <row r="66" spans="1:6">
      <c r="A66" s="348" t="s">
        <v>56</v>
      </c>
      <c r="B66" s="348" t="s">
        <v>58</v>
      </c>
      <c r="C66" s="334">
        <v>0</v>
      </c>
      <c r="D66" s="334">
        <v>0</v>
      </c>
      <c r="E66" s="334">
        <v>17</v>
      </c>
      <c r="F66" s="334">
        <v>930635.4</v>
      </c>
    </row>
    <row r="67" spans="1:6">
      <c r="A67" s="355" t="s">
        <v>56</v>
      </c>
      <c r="B67" s="355" t="s">
        <v>59</v>
      </c>
      <c r="C67" s="334">
        <v>0</v>
      </c>
      <c r="D67" s="334">
        <v>0</v>
      </c>
      <c r="E67" s="334">
        <v>0</v>
      </c>
      <c r="F67" s="334">
        <v>0</v>
      </c>
    </row>
    <row r="68" spans="1:6">
      <c r="A68" s="341" t="s">
        <v>56</v>
      </c>
      <c r="B68" s="341" t="s">
        <v>60</v>
      </c>
      <c r="C68" s="334">
        <v>5</v>
      </c>
      <c r="D68" s="334">
        <v>73379.606626435096</v>
      </c>
      <c r="E68" s="334">
        <v>28</v>
      </c>
      <c r="F68" s="334">
        <v>247298.4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92967692</v>
      </c>
      <c r="E73" s="477">
        <v>102112314.54111968</v>
      </c>
    </row>
    <row r="74" spans="1:6">
      <c r="A74" s="348" t="s">
        <v>64</v>
      </c>
      <c r="B74" s="348" t="s">
        <v>714</v>
      </c>
      <c r="C74" s="1288" t="s">
        <v>716</v>
      </c>
      <c r="D74" s="477">
        <v>8525840.6812008452</v>
      </c>
      <c r="E74" s="477">
        <v>9092417.2256982997</v>
      </c>
    </row>
    <row r="75" spans="1:6">
      <c r="A75" s="348" t="s">
        <v>65</v>
      </c>
      <c r="B75" s="348" t="s">
        <v>713</v>
      </c>
      <c r="C75" s="1288" t="s">
        <v>717</v>
      </c>
      <c r="D75" s="477">
        <v>62885242</v>
      </c>
      <c r="E75" s="477">
        <v>68945735.047281981</v>
      </c>
    </row>
    <row r="76" spans="1:6">
      <c r="A76" s="348" t="s">
        <v>65</v>
      </c>
      <c r="B76" s="348" t="s">
        <v>714</v>
      </c>
      <c r="C76" s="1288" t="s">
        <v>718</v>
      </c>
      <c r="D76" s="477">
        <v>4004032.6812008447</v>
      </c>
      <c r="E76" s="477">
        <v>4262316.3490187358</v>
      </c>
    </row>
    <row r="77" spans="1:6">
      <c r="A77" s="348" t="s">
        <v>66</v>
      </c>
      <c r="B77" s="348" t="s">
        <v>713</v>
      </c>
      <c r="C77" s="1288" t="s">
        <v>719</v>
      </c>
      <c r="D77" s="477">
        <v>223613195</v>
      </c>
      <c r="E77" s="477">
        <v>238670142.47538835</v>
      </c>
    </row>
    <row r="78" spans="1:6">
      <c r="A78" s="341" t="s">
        <v>66</v>
      </c>
      <c r="B78" s="341" t="s">
        <v>714</v>
      </c>
      <c r="C78" s="341" t="s">
        <v>720</v>
      </c>
      <c r="D78" s="1284">
        <v>55398829</v>
      </c>
      <c r="E78" s="1284">
        <v>58294538.124165878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548026.63759831048</v>
      </c>
      <c r="C83" s="477">
        <v>556036.4679495272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6880.5635673784345</v>
      </c>
    </row>
    <row r="92" spans="1:6">
      <c r="A92" s="341" t="s">
        <v>69</v>
      </c>
      <c r="B92" s="342">
        <v>8557.7441652065463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77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208</v>
      </c>
    </row>
    <row r="130" spans="1:6">
      <c r="A130" s="348" t="s">
        <v>295</v>
      </c>
      <c r="B130" s="334">
        <v>7</v>
      </c>
    </row>
    <row r="131" spans="1:6">
      <c r="A131" s="348" t="s">
        <v>296</v>
      </c>
      <c r="B131" s="334">
        <v>7</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227134.86703649428</v>
      </c>
      <c r="C3" s="43" t="s">
        <v>170</v>
      </c>
      <c r="D3" s="43"/>
      <c r="E3" s="154"/>
      <c r="F3" s="43"/>
      <c r="G3" s="43"/>
      <c r="H3" s="43"/>
      <c r="I3" s="43"/>
      <c r="J3" s="43"/>
      <c r="K3" s="96"/>
    </row>
    <row r="4" spans="1:11">
      <c r="A4" s="384" t="s">
        <v>171</v>
      </c>
      <c r="B4" s="49">
        <f>IF(ISERROR('SEAP template'!B69),0,'SEAP template'!B69)</f>
        <v>15481.95773258498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0.20593620682926003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2579.2570000000001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2579.2570000000001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0.20593620682926003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531.1624030178167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66827.745999999999</v>
      </c>
      <c r="C5" s="17">
        <f>IF(ISERROR('Eigen informatie GS &amp; warmtenet'!B57),0,'Eigen informatie GS &amp; warmtenet'!B57)</f>
        <v>0</v>
      </c>
      <c r="D5" s="30">
        <f>(SUM(HH_hh_gas_kWh,HH_rest_gas_kWh)/1000)*0.902</f>
        <v>134654.83299290278</v>
      </c>
      <c r="E5" s="17">
        <f>B46*B57</f>
        <v>6545.0202744349026</v>
      </c>
      <c r="F5" s="17">
        <f>B51*B62</f>
        <v>0</v>
      </c>
      <c r="G5" s="18"/>
      <c r="H5" s="17"/>
      <c r="I5" s="17"/>
      <c r="J5" s="17">
        <f>B50*B61+C50*C61</f>
        <v>7147.4022664722297</v>
      </c>
      <c r="K5" s="17"/>
      <c r="L5" s="17"/>
      <c r="M5" s="17"/>
      <c r="N5" s="17">
        <f>B48*B59+C48*C59</f>
        <v>33772.051287296745</v>
      </c>
      <c r="O5" s="17">
        <f>B69*B70*B71</f>
        <v>448.67666666666673</v>
      </c>
      <c r="P5" s="17">
        <f>B77*B78*B79/1000-B77*B78*B79/1000/B80</f>
        <v>1563.4666666666667</v>
      </c>
    </row>
    <row r="6" spans="1:16">
      <c r="A6" s="16" t="s">
        <v>631</v>
      </c>
      <c r="B6" s="844">
        <f>kWh_PV_kleiner_dan_10kW</f>
        <v>6880.5635673784345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73708.309567378426</v>
      </c>
      <c r="C8" s="21">
        <f>C5</f>
        <v>0</v>
      </c>
      <c r="D8" s="21">
        <f>D5</f>
        <v>134654.83299290278</v>
      </c>
      <c r="E8" s="21">
        <f>E5</f>
        <v>6545.0202744349026</v>
      </c>
      <c r="F8" s="21">
        <f>F5</f>
        <v>0</v>
      </c>
      <c r="G8" s="21"/>
      <c r="H8" s="21"/>
      <c r="I8" s="21"/>
      <c r="J8" s="21">
        <f>J5</f>
        <v>7147.4022664722297</v>
      </c>
      <c r="K8" s="21"/>
      <c r="L8" s="21">
        <f>L5</f>
        <v>0</v>
      </c>
      <c r="M8" s="21">
        <f>M5</f>
        <v>0</v>
      </c>
      <c r="N8" s="21">
        <f>N5</f>
        <v>33772.051287296745</v>
      </c>
      <c r="O8" s="21">
        <f>O5</f>
        <v>448.67666666666673</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0.20593620682926003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15179.209684102771</v>
      </c>
      <c r="C12" s="23">
        <f ca="1">C10*C8</f>
        <v>0</v>
      </c>
      <c r="D12" s="23">
        <f>D8*D10</f>
        <v>27200.276264566364</v>
      </c>
      <c r="E12" s="23">
        <f>E10*E8</f>
        <v>1485.719602296723</v>
      </c>
      <c r="F12" s="23">
        <f>F10*F8</f>
        <v>0</v>
      </c>
      <c r="G12" s="23"/>
      <c r="H12" s="23"/>
      <c r="I12" s="23"/>
      <c r="J12" s="23">
        <f>J10*J8</f>
        <v>2530.1804023311693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740</v>
      </c>
      <c r="B28" s="37">
        <f>aantalHuishoudens2011</f>
        <v>16230</v>
      </c>
      <c r="C28" s="36"/>
      <c r="D28" s="228"/>
    </row>
    <row r="29" spans="1:7" s="15" customFormat="1">
      <c r="A29" s="230" t="s">
        <v>741</v>
      </c>
      <c r="B29" s="37">
        <f>SUM(HH_hh_gas_aantal,HH_rest_gas_aantal)</f>
        <v>10911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10911</v>
      </c>
      <c r="C32" s="167">
        <f>IF(ISERROR(B32/SUM($B$32,$B$34,$B$35,$B$36,$B$38,$B$39)*100),0,B32/SUM($B$32,$B$34,$B$35,$B$36,$B$38,$B$39)*100)</f>
        <v>67.56873916274462</v>
      </c>
      <c r="D32" s="233"/>
      <c r="G32" s="15"/>
    </row>
    <row r="33" spans="1:7">
      <c r="A33" s="171" t="s">
        <v>72</v>
      </c>
      <c r="B33" s="34" t="s">
        <v>111</v>
      </c>
      <c r="C33" s="167"/>
      <c r="D33" s="233"/>
      <c r="G33" s="15"/>
    </row>
    <row r="34" spans="1:7">
      <c r="A34" s="171" t="s">
        <v>73</v>
      </c>
      <c r="B34" s="33">
        <f>IF((($B$28-$B$32-$B$39-$B$77-$B$38)*C20/100)&lt;0,0,($B$28-$B$32-$B$39-$B$77-$B$38)*C20/100)</f>
        <v>438.65971428571436</v>
      </c>
      <c r="C34" s="167">
        <f>IF(ISERROR(B34/SUM($B$32,$B$34,$B$35,$B$36,$B$38,$B$39)*100),0,B34/SUM($B$32,$B$34,$B$35,$B$36,$B$38,$B$39)*100)</f>
        <v>2.7164956297108889</v>
      </c>
      <c r="D34" s="233"/>
      <c r="G34" s="15"/>
    </row>
    <row r="35" spans="1:7">
      <c r="A35" s="171" t="s">
        <v>74</v>
      </c>
      <c r="B35" s="33">
        <f>IF((($B$28-$B$32-$B$39-$B$77-$B$38)*C21/100)&lt;0,0,($B$28-$B$32-$B$39-$B$77-$B$38)*C21/100)</f>
        <v>3998.2754285714286</v>
      </c>
      <c r="C35" s="167">
        <f>IF(ISERROR(B35/SUM($B$32,$B$34,$B$35,$B$36,$B$38,$B$39)*100),0,B35/SUM($B$32,$B$34,$B$35,$B$36,$B$38,$B$39)*100)</f>
        <v>24.760189674086135</v>
      </c>
      <c r="D35" s="233"/>
      <c r="G35" s="15"/>
    </row>
    <row r="36" spans="1:7">
      <c r="A36" s="171" t="s">
        <v>75</v>
      </c>
      <c r="B36" s="33">
        <f>IF((($B$28-$B$32-$B$39-$B$77-$B$38)*C22/100)&lt;0,0,($B$28-$B$32-$B$39-$B$77-$B$38)*C22/100)</f>
        <v>596.8648571428572</v>
      </c>
      <c r="C36" s="167">
        <f>IF(ISERROR(B36/SUM($B$32,$B$34,$B$35,$B$36,$B$38,$B$39)*100),0,B36/SUM($B$32,$B$34,$B$35,$B$36,$B$38,$B$39)*100)</f>
        <v>3.6962153650164553</v>
      </c>
      <c r="D36" s="233"/>
      <c r="G36" s="15"/>
    </row>
    <row r="37" spans="1:7">
      <c r="A37" s="171" t="s">
        <v>76</v>
      </c>
      <c r="B37" s="34" t="s">
        <v>111</v>
      </c>
      <c r="C37" s="167"/>
      <c r="D37" s="173"/>
      <c r="G37" s="15"/>
    </row>
    <row r="38" spans="1:7">
      <c r="A38" s="171" t="s">
        <v>77</v>
      </c>
      <c r="B38" s="33">
        <f>IF((B24-(B29-B18)*0.1)&lt;0,0,B24-(B29-B18)*0.1)</f>
        <v>203.2</v>
      </c>
      <c r="C38" s="167">
        <f>IF(ISERROR(B38/SUM($B$32,$B$34,$B$35,$B$36,$B$38,$B$39)*100),0,B38/SUM($B$32,$B$34,$B$35,$B$36,$B$38,$B$39)*100)</f>
        <v>1.2583601684419121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10911</v>
      </c>
      <c r="C44" s="34" t="s">
        <v>111</v>
      </c>
      <c r="D44" s="174"/>
    </row>
    <row r="45" spans="1:7">
      <c r="A45" s="171" t="s">
        <v>72</v>
      </c>
      <c r="B45" s="33" t="str">
        <f t="shared" si="0"/>
        <v>-</v>
      </c>
      <c r="C45" s="34" t="s">
        <v>111</v>
      </c>
      <c r="D45" s="174"/>
    </row>
    <row r="46" spans="1:7">
      <c r="A46" s="171" t="s">
        <v>73</v>
      </c>
      <c r="B46" s="33">
        <f t="shared" si="0"/>
        <v>438.65971428571436</v>
      </c>
      <c r="C46" s="34" t="s">
        <v>111</v>
      </c>
      <c r="D46" s="174"/>
    </row>
    <row r="47" spans="1:7">
      <c r="A47" s="171" t="s">
        <v>74</v>
      </c>
      <c r="B47" s="33">
        <f t="shared" si="0"/>
        <v>3998.2754285714286</v>
      </c>
      <c r="C47" s="34" t="s">
        <v>111</v>
      </c>
      <c r="D47" s="174"/>
    </row>
    <row r="48" spans="1:7">
      <c r="A48" s="171" t="s">
        <v>75</v>
      </c>
      <c r="B48" s="33">
        <f t="shared" si="0"/>
        <v>596.8648571428572</v>
      </c>
      <c r="C48" s="33">
        <f>B48*10</f>
        <v>5968.6485714285718</v>
      </c>
      <c r="D48" s="234"/>
    </row>
    <row r="49" spans="1:6">
      <c r="A49" s="171" t="s">
        <v>76</v>
      </c>
      <c r="B49" s="33" t="str">
        <f t="shared" si="0"/>
        <v>-</v>
      </c>
      <c r="C49" s="34" t="s">
        <v>111</v>
      </c>
      <c r="D49" s="234"/>
    </row>
    <row r="50" spans="1:6">
      <c r="A50" s="171" t="s">
        <v>77</v>
      </c>
      <c r="B50" s="33">
        <f t="shared" si="0"/>
        <v>203.2</v>
      </c>
      <c r="C50" s="33">
        <f>B50*2</f>
        <v>406.4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69216.762999999992</v>
      </c>
      <c r="C5" s="17">
        <f>IF(ISERROR('Eigen informatie GS &amp; warmtenet'!B58),0,'Eigen informatie GS &amp; warmtenet'!B58)</f>
        <v>0</v>
      </c>
      <c r="D5" s="30">
        <f>SUM(D6:D12)</f>
        <v>92078.57971433668</v>
      </c>
      <c r="E5" s="17">
        <f>SUM(E6:E12)</f>
        <v>681.57290384917064</v>
      </c>
      <c r="F5" s="17">
        <f>SUM(F6:F12)</f>
        <v>10443.673763334727</v>
      </c>
      <c r="G5" s="18"/>
      <c r="H5" s="17"/>
      <c r="I5" s="17"/>
      <c r="J5" s="17">
        <f>SUM(J6:J12)</f>
        <v>0</v>
      </c>
      <c r="K5" s="17"/>
      <c r="L5" s="17"/>
      <c r="M5" s="17"/>
      <c r="N5" s="17">
        <f>SUM(N6:N12)</f>
        <v>7816.2444922033901</v>
      </c>
      <c r="O5" s="17">
        <f>B38*B39*B40</f>
        <v>10.943333333333335</v>
      </c>
      <c r="P5" s="17">
        <f>B46*B47*B48/1000-B46*B47*B48/1000/B49</f>
        <v>133.46666666666667</v>
      </c>
      <c r="R5" s="32"/>
    </row>
    <row r="6" spans="1:18">
      <c r="A6" s="32" t="s">
        <v>54</v>
      </c>
      <c r="B6" s="37">
        <f>B26</f>
        <v>8985.7029999999995</v>
      </c>
      <c r="C6" s="33"/>
      <c r="D6" s="37">
        <f>IF(ISERROR(TER_kantoor_gas_kWh/1000),0,TER_kantoor_gas_kWh/1000)*0.902</f>
        <v>9464.2255674699391</v>
      </c>
      <c r="E6" s="33">
        <f>$C$26*'E Balans VL '!I12/100/3.6*1000000</f>
        <v>26.032899980567979</v>
      </c>
      <c r="F6" s="33">
        <f>$C$26*('E Balans VL '!L12+'E Balans VL '!N12)/100/3.6*1000000</f>
        <v>1016.9836092138017</v>
      </c>
      <c r="G6" s="34"/>
      <c r="H6" s="33"/>
      <c r="I6" s="33"/>
      <c r="J6" s="33">
        <f>$C$26*('E Balans VL '!D12+'E Balans VL '!E12)/100/3.6*1000000</f>
        <v>0</v>
      </c>
      <c r="K6" s="33"/>
      <c r="L6" s="33"/>
      <c r="M6" s="33"/>
      <c r="N6" s="33">
        <f>$C$26*'E Balans VL '!Y12/100/3.6*1000000</f>
        <v>89.940266068411802</v>
      </c>
      <c r="O6" s="33"/>
      <c r="P6" s="33"/>
      <c r="R6" s="32"/>
    </row>
    <row r="7" spans="1:18">
      <c r="A7" s="32" t="s">
        <v>53</v>
      </c>
      <c r="B7" s="37">
        <f t="shared" ref="B7:B12" si="0">B27</f>
        <v>4343.6130000000003</v>
      </c>
      <c r="C7" s="33"/>
      <c r="D7" s="37">
        <f>IF(ISERROR(TER_horeca_gas_kWh/1000),0,TER_horeca_gas_kWh/1000)*0.902</f>
        <v>5020.1823503928135</v>
      </c>
      <c r="E7" s="33">
        <f>$C$27*'E Balans VL '!I9/100/3.6*1000000</f>
        <v>182.33273792512824</v>
      </c>
      <c r="F7" s="33">
        <f>$C$27*('E Balans VL '!L9+'E Balans VL '!N9)/100/3.6*1000000</f>
        <v>933.3143272238334</v>
      </c>
      <c r="G7" s="34"/>
      <c r="H7" s="33"/>
      <c r="I7" s="33"/>
      <c r="J7" s="33">
        <f>$C$27*('E Balans VL '!D9+'E Balans VL '!E9)/100/3.6*1000000</f>
        <v>0</v>
      </c>
      <c r="K7" s="33"/>
      <c r="L7" s="33"/>
      <c r="M7" s="33"/>
      <c r="N7" s="33">
        <f>$C$27*'E Balans VL '!Y9/100/3.6*1000000</f>
        <v>1.1193110838262752</v>
      </c>
      <c r="O7" s="33"/>
      <c r="P7" s="33"/>
      <c r="R7" s="32"/>
    </row>
    <row r="8" spans="1:18">
      <c r="A8" s="6" t="s">
        <v>52</v>
      </c>
      <c r="B8" s="37">
        <f t="shared" si="0"/>
        <v>33714.103999999999</v>
      </c>
      <c r="C8" s="33"/>
      <c r="D8" s="37">
        <f>IF(ISERROR(TER_handel_gas_kWh/1000),0,TER_handel_gas_kWh/1000)*0.902</f>
        <v>31156.183424660721</v>
      </c>
      <c r="E8" s="33">
        <f>$C$28*'E Balans VL '!I13/100/3.6*1000000</f>
        <v>362.11753641112455</v>
      </c>
      <c r="F8" s="33">
        <f>$C$28*('E Balans VL '!L13+'E Balans VL '!N13)/100/3.6*1000000</f>
        <v>4364.5691681315639</v>
      </c>
      <c r="G8" s="34"/>
      <c r="H8" s="33"/>
      <c r="I8" s="33"/>
      <c r="J8" s="33">
        <f>$C$28*('E Balans VL '!D13+'E Balans VL '!E13)/100/3.6*1000000</f>
        <v>0</v>
      </c>
      <c r="K8" s="33"/>
      <c r="L8" s="33"/>
      <c r="M8" s="33"/>
      <c r="N8" s="33">
        <f>$C$28*'E Balans VL '!Y13/100/3.6*1000000</f>
        <v>273.49065251811851</v>
      </c>
      <c r="O8" s="33"/>
      <c r="P8" s="33"/>
      <c r="R8" s="32"/>
    </row>
    <row r="9" spans="1:18">
      <c r="A9" s="32" t="s">
        <v>51</v>
      </c>
      <c r="B9" s="37">
        <f t="shared" si="0"/>
        <v>2557.8780000000002</v>
      </c>
      <c r="C9" s="33"/>
      <c r="D9" s="37">
        <f>IF(ISERROR(TER_gezond_gas_kWh/1000),0,TER_gezond_gas_kWh/1000)*0.902</f>
        <v>7301.0307182478282</v>
      </c>
      <c r="E9" s="33">
        <f>$C$29*'E Balans VL '!I10/100/3.6*1000000</f>
        <v>2.0362363271167956</v>
      </c>
      <c r="F9" s="33">
        <f>$C$29*('E Balans VL '!L10+'E Balans VL '!N10)/100/3.6*1000000</f>
        <v>310.94703556652252</v>
      </c>
      <c r="G9" s="34"/>
      <c r="H9" s="33"/>
      <c r="I9" s="33"/>
      <c r="J9" s="33">
        <f>$C$29*('E Balans VL '!D10+'E Balans VL '!E10)/100/3.6*1000000</f>
        <v>0</v>
      </c>
      <c r="K9" s="33"/>
      <c r="L9" s="33"/>
      <c r="M9" s="33"/>
      <c r="N9" s="33">
        <f>$C$29*'E Balans VL '!Y10/100/3.6*1000000</f>
        <v>20.66186081874902</v>
      </c>
      <c r="O9" s="33"/>
      <c r="P9" s="33"/>
      <c r="R9" s="32"/>
    </row>
    <row r="10" spans="1:18">
      <c r="A10" s="32" t="s">
        <v>50</v>
      </c>
      <c r="B10" s="37">
        <f t="shared" si="0"/>
        <v>9540.6569999999992</v>
      </c>
      <c r="C10" s="33"/>
      <c r="D10" s="37">
        <f>IF(ISERROR(TER_ander_gas_kWh/1000),0,TER_ander_gas_kWh/1000)*0.902</f>
        <v>19581.353549991498</v>
      </c>
      <c r="E10" s="33">
        <f>$C$30*'E Balans VL '!I14/100/3.6*1000000</f>
        <v>32.696332740871739</v>
      </c>
      <c r="F10" s="33">
        <f>$C$30*('E Balans VL '!L14+'E Balans VL '!N14)/100/3.6*1000000</f>
        <v>2130.9950871676492</v>
      </c>
      <c r="G10" s="34"/>
      <c r="H10" s="33"/>
      <c r="I10" s="33"/>
      <c r="J10" s="33">
        <f>$C$30*('E Balans VL '!D14+'E Balans VL '!E14)/100/3.6*1000000</f>
        <v>0</v>
      </c>
      <c r="K10" s="33"/>
      <c r="L10" s="33"/>
      <c r="M10" s="33"/>
      <c r="N10" s="33">
        <f>$C$30*'E Balans VL '!Y14/100/3.6*1000000</f>
        <v>6720.4909103903938</v>
      </c>
      <c r="O10" s="33"/>
      <c r="P10" s="33"/>
      <c r="R10" s="32"/>
    </row>
    <row r="11" spans="1:18">
      <c r="A11" s="32" t="s">
        <v>55</v>
      </c>
      <c r="B11" s="37">
        <f t="shared" si="0"/>
        <v>1764.18</v>
      </c>
      <c r="C11" s="33"/>
      <c r="D11" s="37">
        <f>IF(ISERROR(TER_onderwijs_gas_kWh/1000),0,TER_onderwijs_gas_kWh/1000)*0.902</f>
        <v>3674.0732521479349</v>
      </c>
      <c r="E11" s="33">
        <f>$C$31*'E Balans VL '!I11/100/3.6*1000000</f>
        <v>1.2195233015320328</v>
      </c>
      <c r="F11" s="33">
        <f>$C$31*('E Balans VL '!L11+'E Balans VL '!N11)/100/3.6*1000000</f>
        <v>461.81107804812143</v>
      </c>
      <c r="G11" s="34"/>
      <c r="H11" s="33"/>
      <c r="I11" s="33"/>
      <c r="J11" s="33">
        <f>$C$31*('E Balans VL '!D11+'E Balans VL '!E11)/100/3.6*1000000</f>
        <v>0</v>
      </c>
      <c r="K11" s="33"/>
      <c r="L11" s="33"/>
      <c r="M11" s="33"/>
      <c r="N11" s="33">
        <f>$C$31*'E Balans VL '!Y11/100/3.6*1000000</f>
        <v>1.7560909288692099</v>
      </c>
      <c r="O11" s="33"/>
      <c r="P11" s="33"/>
      <c r="R11" s="32"/>
    </row>
    <row r="12" spans="1:18">
      <c r="A12" s="32" t="s">
        <v>260</v>
      </c>
      <c r="B12" s="37">
        <f t="shared" si="0"/>
        <v>8310.6280000000006</v>
      </c>
      <c r="C12" s="33"/>
      <c r="D12" s="37">
        <f>IF(ISERROR(TER_rest_gas_kWh/1000),0,TER_rest_gas_kWh/1000)*0.902</f>
        <v>15881.530851425941</v>
      </c>
      <c r="E12" s="33">
        <f>$C$32*'E Balans VL '!I8/100/3.6*1000000</f>
        <v>75.137637162829392</v>
      </c>
      <c r="F12" s="33">
        <f>$C$32*('E Balans VL '!L8+'E Balans VL '!N8)/100/3.6*1000000</f>
        <v>1225.053457983234</v>
      </c>
      <c r="G12" s="34"/>
      <c r="H12" s="33"/>
      <c r="I12" s="33"/>
      <c r="J12" s="33">
        <f>$C$32*('E Balans VL '!D8+'E Balans VL '!E8)/100/3.6*1000000</f>
        <v>0</v>
      </c>
      <c r="K12" s="33"/>
      <c r="L12" s="33"/>
      <c r="M12" s="33"/>
      <c r="N12" s="33">
        <f>$C$32*'E Balans VL '!Y8/100/3.6*1000000</f>
        <v>708.78540039502104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69216.762999999992</v>
      </c>
      <c r="C16" s="21">
        <f t="shared" ca="1" si="1"/>
        <v>0</v>
      </c>
      <c r="D16" s="21">
        <f t="shared" ca="1" si="1"/>
        <v>92078.57971433668</v>
      </c>
      <c r="E16" s="21">
        <f t="shared" si="1"/>
        <v>681.57290384917064</v>
      </c>
      <c r="F16" s="21">
        <f t="shared" ca="1" si="1"/>
        <v>10443.673763334727</v>
      </c>
      <c r="G16" s="21">
        <f t="shared" si="1"/>
        <v>0</v>
      </c>
      <c r="H16" s="21">
        <f t="shared" si="1"/>
        <v>0</v>
      </c>
      <c r="I16" s="21">
        <f t="shared" si="1"/>
        <v>0</v>
      </c>
      <c r="J16" s="21">
        <f t="shared" si="1"/>
        <v>0</v>
      </c>
      <c r="K16" s="21">
        <f t="shared" si="1"/>
        <v>0</v>
      </c>
      <c r="L16" s="21">
        <f t="shared" ca="1" si="1"/>
        <v>0</v>
      </c>
      <c r="M16" s="21">
        <f t="shared" si="1"/>
        <v>0</v>
      </c>
      <c r="N16" s="21">
        <f t="shared" ca="1" si="1"/>
        <v>7816.2444922033901</v>
      </c>
      <c r="O16" s="21">
        <f>O5</f>
        <v>10.943333333333335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0.20593620682926003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14254.237621219871</v>
      </c>
      <c r="C20" s="23">
        <f t="shared" ref="C20:P20" ca="1" si="2">C16*C18</f>
        <v>0</v>
      </c>
      <c r="D20" s="23">
        <f t="shared" ca="1" si="2"/>
        <v>18599.873102296009</v>
      </c>
      <c r="E20" s="23">
        <f t="shared" si="2"/>
        <v>154.71704917376175</v>
      </c>
      <c r="F20" s="23">
        <f t="shared" ca="1" si="2"/>
        <v>2788.4608948103723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8985.7029999999995</v>
      </c>
      <c r="C26" s="39">
        <f>IF(ISERROR(B26*3.6/1000000/'E Balans VL '!Z12*100),0,B26*3.6/1000000/'E Balans VL '!Z12*100)</f>
        <v>0.19738135490794503</v>
      </c>
      <c r="D26" s="237" t="s">
        <v>692</v>
      </c>
      <c r="F26" s="6"/>
    </row>
    <row r="27" spans="1:18">
      <c r="A27" s="231" t="s">
        <v>53</v>
      </c>
      <c r="B27" s="33">
        <f>IF(ISERROR(TER_horeca_ele_kWh/1000),0,TER_horeca_ele_kWh/1000)</f>
        <v>4343.6130000000003</v>
      </c>
      <c r="C27" s="39">
        <f>IF(ISERROR(B27*3.6/1000000/'E Balans VL '!Z9*100),0,B27*3.6/1000000/'E Balans VL '!Z9*100)</f>
        <v>0.349052602195776</v>
      </c>
      <c r="D27" s="237" t="s">
        <v>692</v>
      </c>
      <c r="F27" s="6"/>
    </row>
    <row r="28" spans="1:18">
      <c r="A28" s="171" t="s">
        <v>52</v>
      </c>
      <c r="B28" s="33">
        <f>IF(ISERROR(TER_handel_ele_kWh/1000),0,TER_handel_ele_kWh/1000)</f>
        <v>33714.103999999999</v>
      </c>
      <c r="C28" s="39">
        <f>IF(ISERROR(B28*3.6/1000000/'E Balans VL '!Z13*100),0,B28*3.6/1000000/'E Balans VL '!Z13*100)</f>
        <v>0.99690250211240972</v>
      </c>
      <c r="D28" s="237" t="s">
        <v>692</v>
      </c>
      <c r="F28" s="6"/>
    </row>
    <row r="29" spans="1:18">
      <c r="A29" s="231" t="s">
        <v>51</v>
      </c>
      <c r="B29" s="33">
        <f>IF(ISERROR(TER_gezond_ele_kWh/1000),0,TER_gezond_ele_kWh/1000)</f>
        <v>2557.8780000000002</v>
      </c>
      <c r="C29" s="39">
        <f>IF(ISERROR(B29*3.6/1000000/'E Balans VL '!Z10*100),0,B29*3.6/1000000/'E Balans VL '!Z10*100)</f>
        <v>0.28820681201135634</v>
      </c>
      <c r="D29" s="237" t="s">
        <v>692</v>
      </c>
      <c r="F29" s="6"/>
    </row>
    <row r="30" spans="1:18">
      <c r="A30" s="231" t="s">
        <v>50</v>
      </c>
      <c r="B30" s="33">
        <f>IF(ISERROR(TER_ander_ele_kWh/1000),0,TER_ander_ele_kWh/1000)</f>
        <v>9540.6569999999992</v>
      </c>
      <c r="C30" s="39">
        <f>IF(ISERROR(B30*3.6/1000000/'E Balans VL '!Z14*100),0,B30*3.6/1000000/'E Balans VL '!Z14*100)</f>
        <v>0.72154357989353779</v>
      </c>
      <c r="D30" s="237" t="s">
        <v>692</v>
      </c>
      <c r="F30" s="6"/>
    </row>
    <row r="31" spans="1:18">
      <c r="A31" s="231" t="s">
        <v>55</v>
      </c>
      <c r="B31" s="33">
        <f>IF(ISERROR(TER_onderwijs_ele_kWh/1000),0,TER_onderwijs_ele_kWh/1000)</f>
        <v>1764.18</v>
      </c>
      <c r="C31" s="39">
        <f>IF(ISERROR(B31*3.6/1000000/'E Balans VL '!Z11*100),0,B31*3.6/1000000/'E Balans VL '!Z11*100)</f>
        <v>0.36620281431945895</v>
      </c>
      <c r="D31" s="237" t="s">
        <v>692</v>
      </c>
    </row>
    <row r="32" spans="1:18">
      <c r="A32" s="231" t="s">
        <v>260</v>
      </c>
      <c r="B32" s="33">
        <f>IF(ISERROR(TER_rest_ele_kWh/1000),0,TER_rest_ele_kWh/1000)</f>
        <v>8310.6280000000006</v>
      </c>
      <c r="C32" s="39">
        <f>IF(ISERROR(B32*3.6/1000000/'E Balans VL '!Z8*100),0,B32*3.6/1000000/'E Balans VL '!Z8*100)</f>
        <v>7.0012151923111068E-2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77980.411699999997</v>
      </c>
      <c r="C5" s="17">
        <f>IF(ISERROR('Eigen informatie GS &amp; warmtenet'!B59),0,'Eigen informatie GS &amp; warmtenet'!B59)</f>
        <v>0</v>
      </c>
      <c r="D5" s="30">
        <f>SUM(D6:D15)</f>
        <v>47968.582166074877</v>
      </c>
      <c r="E5" s="17">
        <f>SUM(E6:E15)</f>
        <v>6895.893802261271</v>
      </c>
      <c r="F5" s="17">
        <f>SUM(F6:F15)</f>
        <v>59922.94575088039</v>
      </c>
      <c r="G5" s="18"/>
      <c r="H5" s="17"/>
      <c r="I5" s="17"/>
      <c r="J5" s="17">
        <f>SUM(J6:J15)</f>
        <v>612.49708378112791</v>
      </c>
      <c r="K5" s="17"/>
      <c r="L5" s="17"/>
      <c r="M5" s="17"/>
      <c r="N5" s="17">
        <f>SUM(N6:N15)</f>
        <v>22711.33885778355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5107.1660000000002</v>
      </c>
      <c r="C8" s="33"/>
      <c r="D8" s="37">
        <f>IF( ISERROR(IND_metaal_Gas_kWH/1000),0,IND_metaal_Gas_kWH/1000)*0.902</f>
        <v>8900.8009132008519</v>
      </c>
      <c r="E8" s="33">
        <f>C30*'E Balans VL '!I18/100/3.6*1000000</f>
        <v>127.81449028194045</v>
      </c>
      <c r="F8" s="33">
        <f>C30*'E Balans VL '!L18/100/3.6*1000000+C30*'E Balans VL '!N18/100/3.6*1000000</f>
        <v>1600.6112287501783</v>
      </c>
      <c r="G8" s="34"/>
      <c r="H8" s="33"/>
      <c r="I8" s="33"/>
      <c r="J8" s="40">
        <f>C30*'E Balans VL '!D18/100/3.6*1000000+C30*'E Balans VL '!E18/100/3.6*1000000</f>
        <v>0</v>
      </c>
      <c r="K8" s="33"/>
      <c r="L8" s="33"/>
      <c r="M8" s="33"/>
      <c r="N8" s="33">
        <f>C30*'E Balans VL '!Y18/100/3.6*1000000</f>
        <v>128.30526417154968</v>
      </c>
      <c r="O8" s="33"/>
      <c r="P8" s="33"/>
      <c r="R8" s="32"/>
    </row>
    <row r="9" spans="1:18">
      <c r="A9" s="6" t="s">
        <v>33</v>
      </c>
      <c r="B9" s="37">
        <f t="shared" si="0"/>
        <v>17329.883000000002</v>
      </c>
      <c r="C9" s="33"/>
      <c r="D9" s="37">
        <f>IF( ISERROR(IND_andere_gas_kWh/1000),0,IND_andere_gas_kWh/1000)*0.902</f>
        <v>4942.0379681087634</v>
      </c>
      <c r="E9" s="33">
        <f>C31*'E Balans VL '!I19/100/3.6*1000000</f>
        <v>4765.0070388853146</v>
      </c>
      <c r="F9" s="33">
        <f>C31*'E Balans VL '!L19/100/3.6*1000000+C31*'E Balans VL '!N19/100/3.6*1000000</f>
        <v>13658.96342015709</v>
      </c>
      <c r="G9" s="34"/>
      <c r="H9" s="33"/>
      <c r="I9" s="33"/>
      <c r="J9" s="40">
        <f>C31*'E Balans VL '!D19/100/3.6*1000000+C31*'E Balans VL '!E19/100/3.6*1000000</f>
        <v>0</v>
      </c>
      <c r="K9" s="33"/>
      <c r="L9" s="33"/>
      <c r="M9" s="33"/>
      <c r="N9" s="33">
        <f>C31*'E Balans VL '!Y19/100/3.6*1000000</f>
        <v>5610.1405594648586</v>
      </c>
      <c r="O9" s="33"/>
      <c r="P9" s="33"/>
      <c r="R9" s="32"/>
    </row>
    <row r="10" spans="1:18">
      <c r="A10" s="6" t="s">
        <v>41</v>
      </c>
      <c r="B10" s="37">
        <f t="shared" si="0"/>
        <v>19356.956999999999</v>
      </c>
      <c r="C10" s="33"/>
      <c r="D10" s="37">
        <f>IF( ISERROR(IND_voed_gas_kWh/1000),0,IND_voed_gas_kWh/1000)*0.902</f>
        <v>20285.95324541278</v>
      </c>
      <c r="E10" s="33">
        <f>C32*'E Balans VL '!I20/100/3.6*1000000</f>
        <v>197.33351280654071</v>
      </c>
      <c r="F10" s="33">
        <f>C32*'E Balans VL '!L20/100/3.6*1000000+C32*'E Balans VL '!N20/100/3.6*1000000</f>
        <v>36565.17070692058</v>
      </c>
      <c r="G10" s="34"/>
      <c r="H10" s="33"/>
      <c r="I10" s="33"/>
      <c r="J10" s="40">
        <f>C32*'E Balans VL '!D20/100/3.6*1000000+C32*'E Balans VL '!E20/100/3.6*1000000</f>
        <v>463.2753172600523</v>
      </c>
      <c r="K10" s="33"/>
      <c r="L10" s="33"/>
      <c r="M10" s="33"/>
      <c r="N10" s="33">
        <f>C32*'E Balans VL '!Y20/100/3.6*1000000</f>
        <v>10203.345987039003</v>
      </c>
      <c r="O10" s="33"/>
      <c r="P10" s="33"/>
      <c r="R10" s="32"/>
    </row>
    <row r="11" spans="1:18">
      <c r="A11" s="6" t="s">
        <v>40</v>
      </c>
      <c r="B11" s="37">
        <f t="shared" si="0"/>
        <v>0</v>
      </c>
      <c r="C11" s="33"/>
      <c r="D11" s="37">
        <f>IF( ISERROR(IND_textiel_gas_kWh/1000),0,IND_textiel_gas_kWh/1000)*0.902</f>
        <v>4107.5349690790063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324.58780000000002</v>
      </c>
      <c r="C12" s="33"/>
      <c r="D12" s="37">
        <f>IF( ISERROR(IND_min_gas_kWh/1000),0,IND_min_gas_kWh/1000)*0.902</f>
        <v>0</v>
      </c>
      <c r="E12" s="33">
        <f>C34*'E Balans VL '!I22/100/3.6*1000000</f>
        <v>0.9830296179566963</v>
      </c>
      <c r="F12" s="33">
        <f>C34*'E Balans VL '!L22/100/3.6*1000000+C34*'E Balans VL '!N22/100/3.6*1000000</f>
        <v>10.143647809850904</v>
      </c>
      <c r="G12" s="34"/>
      <c r="H12" s="33"/>
      <c r="I12" s="33"/>
      <c r="J12" s="40">
        <f>C34*'E Balans VL '!D22/100/3.6*1000000+C34*'E Balans VL '!E22/100/3.6*1000000</f>
        <v>0.48129165262131324</v>
      </c>
      <c r="K12" s="33"/>
      <c r="L12" s="33"/>
      <c r="M12" s="33"/>
      <c r="N12" s="33">
        <f>C34*'E Balans VL '!Y22/100/3.6*1000000</f>
        <v>0</v>
      </c>
      <c r="O12" s="33"/>
      <c r="P12" s="33"/>
      <c r="R12" s="32"/>
    </row>
    <row r="13" spans="1:18">
      <c r="A13" s="6" t="s">
        <v>39</v>
      </c>
      <c r="B13" s="37">
        <f t="shared" si="0"/>
        <v>250.2098</v>
      </c>
      <c r="C13" s="33"/>
      <c r="D13" s="37">
        <f>IF( ISERROR(IND_papier_gas_kWh/1000),0,IND_papier_gas_kWh/1000)*0.902</f>
        <v>149.30400188921504</v>
      </c>
      <c r="E13" s="33">
        <f>C35*'E Balans VL '!I23/100/3.6*1000000</f>
        <v>0.51820138455482601</v>
      </c>
      <c r="F13" s="33">
        <f>C35*'E Balans VL '!L23/100/3.6*1000000+C35*'E Balans VL '!N23/100/3.6*1000000</f>
        <v>4.9621967411771379</v>
      </c>
      <c r="G13" s="34"/>
      <c r="H13" s="33"/>
      <c r="I13" s="33"/>
      <c r="J13" s="40">
        <f>C35*'E Balans VL '!D23/100/3.6*1000000+C35*'E Balans VL '!E23/100/3.6*1000000</f>
        <v>0</v>
      </c>
      <c r="K13" s="33"/>
      <c r="L13" s="33"/>
      <c r="M13" s="33"/>
      <c r="N13" s="33">
        <f>C35*'E Balans VL '!Y23/100/3.6*1000000</f>
        <v>105.65055479793369</v>
      </c>
      <c r="O13" s="33"/>
      <c r="P13" s="33"/>
      <c r="R13" s="32"/>
    </row>
    <row r="14" spans="1:18">
      <c r="A14" s="6" t="s">
        <v>34</v>
      </c>
      <c r="B14" s="37">
        <f t="shared" si="0"/>
        <v>157.7911</v>
      </c>
      <c r="C14" s="33"/>
      <c r="D14" s="37">
        <f>IF( ISERROR(IND_chemie_gas_kWh/1000),0,IND_chemie_gas_kWh/1000)*0.902</f>
        <v>0</v>
      </c>
      <c r="E14" s="33">
        <f>C36*'E Balans VL '!I24/100/3.6*1000000</f>
        <v>0.59158476579621366</v>
      </c>
      <c r="F14" s="33">
        <f>C36*'E Balans VL '!L24/100/3.6*1000000+C36*'E Balans VL '!N24/100/3.6*1000000</f>
        <v>1.8357341651688974</v>
      </c>
      <c r="G14" s="34"/>
      <c r="H14" s="33"/>
      <c r="I14" s="33"/>
      <c r="J14" s="40">
        <f>C36*'E Balans VL '!D24/100/3.6*1000000+C36*'E Balans VL '!E24/100/3.6*1000000</f>
        <v>0</v>
      </c>
      <c r="K14" s="33"/>
      <c r="L14" s="33"/>
      <c r="M14" s="33"/>
      <c r="N14" s="33">
        <f>C36*'E Balans VL '!Y24/100/3.6*1000000</f>
        <v>2.6957852164731442</v>
      </c>
      <c r="O14" s="33"/>
      <c r="P14" s="33"/>
      <c r="R14" s="32"/>
    </row>
    <row r="15" spans="1:18">
      <c r="A15" s="6" t="s">
        <v>270</v>
      </c>
      <c r="B15" s="37">
        <f t="shared" si="0"/>
        <v>35453.817000000003</v>
      </c>
      <c r="C15" s="33"/>
      <c r="D15" s="37">
        <f>IF( ISERROR(IND_rest_gas_kWh/1000),0,IND_rest_gas_kWh/1000)*0.902</f>
        <v>9582.9510683842636</v>
      </c>
      <c r="E15" s="33">
        <f>C37*'E Balans VL '!I15/100/3.6*1000000</f>
        <v>1803.6459445191663</v>
      </c>
      <c r="F15" s="33">
        <f>C37*'E Balans VL '!L15/100/3.6*1000000+C37*'E Balans VL '!N15/100/3.6*1000000</f>
        <v>8081.2588163363371</v>
      </c>
      <c r="G15" s="34"/>
      <c r="H15" s="33"/>
      <c r="I15" s="33"/>
      <c r="J15" s="40">
        <f>C37*'E Balans VL '!D15/100/3.6*1000000+C37*'E Balans VL '!E15/100/3.6*1000000</f>
        <v>148.74047486845424</v>
      </c>
      <c r="K15" s="33"/>
      <c r="L15" s="33"/>
      <c r="M15" s="33"/>
      <c r="N15" s="33">
        <f>C37*'E Balans VL '!Y15/100/3.6*1000000</f>
        <v>6661.2007070937316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77980.411699999997</v>
      </c>
      <c r="C18" s="21">
        <f>C5+C16</f>
        <v>0</v>
      </c>
      <c r="D18" s="21">
        <f>MAX((D5+D16),0)</f>
        <v>47968.582166074877</v>
      </c>
      <c r="E18" s="21">
        <f>MAX((E5+E16),0)</f>
        <v>6895.893802261271</v>
      </c>
      <c r="F18" s="21">
        <f>MAX((F5+F16),0)</f>
        <v>59922.94575088039</v>
      </c>
      <c r="G18" s="21"/>
      <c r="H18" s="21"/>
      <c r="I18" s="21"/>
      <c r="J18" s="21">
        <f>MAX((J5+J16),0)</f>
        <v>612.49708378112791</v>
      </c>
      <c r="K18" s="21"/>
      <c r="L18" s="21">
        <f>MAX((L5+L16),0)</f>
        <v>0</v>
      </c>
      <c r="M18" s="21"/>
      <c r="N18" s="21">
        <f>MAX((N5+N16),0)</f>
        <v>22711.33885778355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0.20593620682926003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16058.990192482048</v>
      </c>
      <c r="C22" s="23">
        <f ca="1">C18*C20</f>
        <v>0</v>
      </c>
      <c r="D22" s="23">
        <f>D18*D20</f>
        <v>9689.6535975471252</v>
      </c>
      <c r="E22" s="23">
        <f>E18*E20</f>
        <v>1565.3678931133086</v>
      </c>
      <c r="F22" s="23">
        <f>F18*F20</f>
        <v>15999.426515485065</v>
      </c>
      <c r="G22" s="23"/>
      <c r="H22" s="23"/>
      <c r="I22" s="23"/>
      <c r="J22" s="23">
        <f>J18*J20</f>
        <v>216.82396765851928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5107.1660000000002</v>
      </c>
      <c r="C30" s="39">
        <f>IF(ISERROR(B30*3.6/1000000/'E Balans VL '!Z18*100),0,B30*3.6/1000000/'E Balans VL '!Z18*100)</f>
        <v>0.71483304181281881</v>
      </c>
      <c r="D30" s="237" t="s">
        <v>692</v>
      </c>
    </row>
    <row r="31" spans="1:18">
      <c r="A31" s="6" t="s">
        <v>33</v>
      </c>
      <c r="B31" s="37">
        <f>IF( ISERROR(IND_ander_ele_kWh/1000),0,IND_ander_ele_kWh/1000)</f>
        <v>17329.883000000002</v>
      </c>
      <c r="C31" s="39">
        <f>IF(ISERROR(B31*3.6/1000000/'E Balans VL '!Z19*100),0,B31*3.6/1000000/'E Balans VL '!Z19*100)</f>
        <v>0.75852616760356295</v>
      </c>
      <c r="D31" s="237" t="s">
        <v>692</v>
      </c>
    </row>
    <row r="32" spans="1:18">
      <c r="A32" s="171" t="s">
        <v>41</v>
      </c>
      <c r="B32" s="37">
        <f>IF( ISERROR(IND_voed_ele_kWh/1000),0,IND_voed_ele_kWh/1000)</f>
        <v>19356.956999999999</v>
      </c>
      <c r="C32" s="39">
        <f>IF(ISERROR(B32*3.6/1000000/'E Balans VL '!Z20*100),0,B32*3.6/1000000/'E Balans VL '!Z20*100)</f>
        <v>4.7921397403650809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324.58780000000002</v>
      </c>
      <c r="C34" s="39">
        <f>IF(ISERROR(B34*3.6/1000000/'E Balans VL '!Z22*100),0,B34*3.6/1000000/'E Balans VL '!Z22*100)</f>
        <v>9.2104775169469383E-3</v>
      </c>
      <c r="D34" s="237" t="s">
        <v>692</v>
      </c>
    </row>
    <row r="35" spans="1:5">
      <c r="A35" s="171" t="s">
        <v>39</v>
      </c>
      <c r="B35" s="37">
        <f>IF( ISERROR(IND_papier_ele_kWh/1000),0,IND_papier_ele_kWh/1000)</f>
        <v>250.2098</v>
      </c>
      <c r="C35" s="39">
        <f>IF(ISERROR(B35*3.6/1000000/'E Balans VL '!Z22*100),0,B35*3.6/1000000/'E Balans VL '!Z22*100)</f>
        <v>7.0999333228784003E-3</v>
      </c>
      <c r="D35" s="237" t="s">
        <v>692</v>
      </c>
    </row>
    <row r="36" spans="1:5">
      <c r="A36" s="171" t="s">
        <v>34</v>
      </c>
      <c r="B36" s="37">
        <f>IF( ISERROR(IND_chemie_ele_kWh/1000),0,IND_chemie_ele_kWh/1000)</f>
        <v>157.7911</v>
      </c>
      <c r="C36" s="39">
        <f>IF(ISERROR(B36*3.6/1000000/'E Balans VL '!Z24*100),0,B36*3.6/1000000/'E Balans VL '!Z24*100)</f>
        <v>4.0234322076185876E-3</v>
      </c>
      <c r="D36" s="237" t="s">
        <v>692</v>
      </c>
    </row>
    <row r="37" spans="1:5">
      <c r="A37" s="171" t="s">
        <v>270</v>
      </c>
      <c r="B37" s="37">
        <f>IF( ISERROR(IND_rest_ele_kWh/1000),0,IND_rest_ele_kWh/1000)</f>
        <v>35453.817000000003</v>
      </c>
      <c r="C37" s="39">
        <f>IF(ISERROR(B37*3.6/1000000/'E Balans VL '!Z15*100),0,B37*3.6/1000000/'E Balans VL '!Z15*100)</f>
        <v>0.26288398310467087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3598.1186000000002</v>
      </c>
      <c r="C5" s="17">
        <f>'Eigen informatie GS &amp; warmtenet'!B60</f>
        <v>0</v>
      </c>
      <c r="D5" s="30">
        <f>IF(ISERROR(SUM(LB_lb_gas_kWh,LB_rest_gas_kWh,onbekend_gas_kWh)/1000),0,SUM(LB_lb_gas_kWh,LB_rest_gas_kWh,onbekend_gas_kWh)/1000)*0.902</f>
        <v>9951.6874614679255</v>
      </c>
      <c r="E5" s="17">
        <f>B17*'E Balans VL '!I25/3.6*1000000/100</f>
        <v>33.327281503798829</v>
      </c>
      <c r="F5" s="17">
        <f>B17*('E Balans VL '!L25/3.6*1000000+'E Balans VL '!N25/3.6*1000000)/100</f>
        <v>9129.1123290898868</v>
      </c>
      <c r="G5" s="18"/>
      <c r="H5" s="17"/>
      <c r="I5" s="17"/>
      <c r="J5" s="17">
        <f>('E Balans VL '!D25+'E Balans VL '!E25)/3.6*1000000*landbouw!B17/100</f>
        <v>551.6317365007726</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3598.1186000000002</v>
      </c>
      <c r="C8" s="21">
        <f>C5+C6</f>
        <v>62.357142857142847</v>
      </c>
      <c r="D8" s="21">
        <f>MAX((D5+D6),0)</f>
        <v>9951.6874614679255</v>
      </c>
      <c r="E8" s="21">
        <f>MAX((E5+E6),0)</f>
        <v>33.327281503798829</v>
      </c>
      <c r="F8" s="21">
        <f>MAX((F5+F6),0)</f>
        <v>9129.1123290898868</v>
      </c>
      <c r="G8" s="21"/>
      <c r="H8" s="21"/>
      <c r="I8" s="21"/>
      <c r="J8" s="21">
        <f>MAX((J5+J6),0)</f>
        <v>551.6317365007726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0.20593620682926003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740.98289620580761</v>
      </c>
      <c r="C12" s="23">
        <f ca="1">C8*C10</f>
        <v>0</v>
      </c>
      <c r="D12" s="23">
        <f>D8*D10</f>
        <v>2010.2408672165211</v>
      </c>
      <c r="E12" s="23">
        <f>E8*E10</f>
        <v>7.5652929013623345</v>
      </c>
      <c r="F12" s="23">
        <f>F8*F10</f>
        <v>2437.472991867</v>
      </c>
      <c r="G12" s="23"/>
      <c r="H12" s="23"/>
      <c r="I12" s="23"/>
      <c r="J12" s="23">
        <f>J8*J10</f>
        <v>195.2776347212735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0.51157617161845381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845.0482782732206</v>
      </c>
      <c r="C26" s="247">
        <f>B26*'GWP N2O_CH4'!B5</f>
        <v>17746.013843737634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227.0435605127702</v>
      </c>
      <c r="C27" s="247">
        <f>B27*'GWP N2O_CH4'!B5</f>
        <v>4767.9147707681741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11.545602870590844</v>
      </c>
      <c r="C28" s="247">
        <f>B28*'GWP N2O_CH4'!B4</f>
        <v>3579.136889883162</v>
      </c>
      <c r="D28" s="50"/>
    </row>
    <row r="29" spans="1:4">
      <c r="A29" s="41" t="s">
        <v>277</v>
      </c>
      <c r="B29" s="247">
        <f>B34*'ha_N2O bodem landbouw'!B4</f>
        <v>23.493624586794702</v>
      </c>
      <c r="C29" s="247">
        <f>B29*'GWP N2O_CH4'!B4</f>
        <v>7283.0236219063581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5.2692061003420752E-3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1.8722580881720555E-4</v>
      </c>
      <c r="C5" s="464" t="s">
        <v>211</v>
      </c>
      <c r="D5" s="449">
        <f>SUM(D6:D11)</f>
        <v>5.0062164906557551E-4</v>
      </c>
      <c r="E5" s="449">
        <f>SUM(E6:E11)</f>
        <v>3.6259263475059969E-3</v>
      </c>
      <c r="F5" s="462" t="s">
        <v>211</v>
      </c>
      <c r="G5" s="449">
        <f>SUM(G6:G11)</f>
        <v>1.3186500263839478</v>
      </c>
      <c r="H5" s="449">
        <f>SUM(H6:H11)</f>
        <v>0.19378225997371992</v>
      </c>
      <c r="I5" s="464" t="s">
        <v>211</v>
      </c>
      <c r="J5" s="464" t="s">
        <v>211</v>
      </c>
      <c r="K5" s="464" t="s">
        <v>211</v>
      </c>
      <c r="L5" s="464" t="s">
        <v>211</v>
      </c>
      <c r="M5" s="449">
        <f>SUM(M6:M11)</f>
        <v>8.2243149068792362E-2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4.5869578332164795E-5</v>
      </c>
      <c r="C6" s="450"/>
      <c r="D6" s="963">
        <f>vkm_2011_GW_PW*SUMIFS(TableVerdeelsleutelVkm[CNG],TableVerdeelsleutelVkm[Voertuigtype],"Lichte voertuigen")*SUMIFS(TableECFTransport[EnergieConsumptieFactor (PJ per km)],TableECFTransport[Index],CONCATENATE($A6,"_CNG_CNG"))</f>
        <v>1.0610138471367555E-4</v>
      </c>
      <c r="E6" s="963">
        <f>vkm_2011_GW_PW*SUMIFS(TableVerdeelsleutelVkm[LPG],TableVerdeelsleutelVkm[Voertuigtype],"Lichte voertuigen")*SUMIFS(TableECFTransport[EnergieConsumptieFactor (PJ per km)],TableECFTransport[Index],CONCATENATE($A6,"_LPG_LPG"))</f>
        <v>6.9086814442395085E-4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0.14352274577506993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4.0456096047835087E-2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9.5475481568394957E-3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7.9536241689048909E-2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2.7199950212220077E-5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4.6016224135887263E-3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3.1027117827730299E-5</v>
      </c>
      <c r="C8" s="450"/>
      <c r="D8" s="452">
        <f>vkm_2011_NGW_PW*SUMIFS(TableVerdeelsleutelVkm[CNG],TableVerdeelsleutelVkm[Voertuigtype],"Lichte voertuigen")*SUMIFS(TableECFTransport[EnergieConsumptieFactor (PJ per km)],TableECFTransport[Index],CONCATENATE($A8,"_CNG_CNG"))</f>
        <v>1.2693863364312573E-4</v>
      </c>
      <c r="E8" s="452">
        <f>vkm_2011_NGW_PW*SUMIFS(TableVerdeelsleutelVkm[LPG],TableVerdeelsleutelVkm[Voertuigtype],"Lichte voertuigen")*SUMIFS(TableECFTransport[EnergieConsumptieFactor (PJ per km)],TableECFTransport[Index],CONCATENATE($A8,"_LPG_LPG"))</f>
        <v>7.6281755895295992E-4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0.14813804932045066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4.6800610251889259E-2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1.000983908484164E-2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4.7652605964903311E-2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1.541982820005952E-5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2.7569463790177899E-3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1.1032911265731046E-4</v>
      </c>
      <c r="C10" s="450"/>
      <c r="D10" s="452">
        <f>vkm_2011_SW_PW*SUMIFS(TableVerdeelsleutelVkm[CNG],TableVerdeelsleutelVkm[Voertuigtype],"Lichte voertuigen")*SUMIFS(TableECFTransport[EnergieConsumptieFactor (PJ per km)],TableECFTransport[Index],CONCATENATE($A10,"_CNG_CNG"))</f>
        <v>2.675816307087743E-4</v>
      </c>
      <c r="E10" s="452">
        <f>vkm_2011_SW_PW*SUMIFS(TableVerdeelsleutelVkm[LPG],TableVerdeelsleutelVkm[Voertuigtype],"Lichte voertuigen")*SUMIFS(TableECFTransport[EnergieConsumptieFactor (PJ per km)],TableECFTransport[Index],CONCATENATE($A10,"_LPG_LPG"))</f>
        <v>2.1722406441290862E-3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0.4062713708788509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0.10630103772594812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2.6773338348593065E-2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0.49352901275562416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1.818961696351719E-4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2.8553854685911654E-2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52.007169115890427</v>
      </c>
      <c r="C14" s="21"/>
      <c r="D14" s="21">
        <f t="shared" ref="D14:M14" si="0">((D5)*10^9/3600)+D12</f>
        <v>139.06156918488207</v>
      </c>
      <c r="E14" s="21">
        <f t="shared" si="0"/>
        <v>1007.2017631961103</v>
      </c>
      <c r="F14" s="21"/>
      <c r="G14" s="21">
        <f t="shared" si="0"/>
        <v>366291.67399554106</v>
      </c>
      <c r="H14" s="21">
        <f t="shared" si="0"/>
        <v>53828.405548255534</v>
      </c>
      <c r="I14" s="21"/>
      <c r="J14" s="21"/>
      <c r="K14" s="21"/>
      <c r="L14" s="21"/>
      <c r="M14" s="21">
        <f t="shared" si="0"/>
        <v>22845.319185775654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0.20593620682926003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10.710159135654315</v>
      </c>
      <c r="C18" s="23"/>
      <c r="D18" s="23">
        <f t="shared" ref="D18:M18" si="1">D14*D16</f>
        <v>28.090436975346179</v>
      </c>
      <c r="E18" s="23">
        <f t="shared" si="1"/>
        <v>228.63480024551703</v>
      </c>
      <c r="F18" s="23"/>
      <c r="G18" s="23">
        <f t="shared" si="1"/>
        <v>97799.876956809472</v>
      </c>
      <c r="H18" s="23">
        <f t="shared" si="1"/>
        <v>13403.272981515627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6.9846202214426624E-3</v>
      </c>
      <c r="H50" s="321">
        <f t="shared" si="2"/>
        <v>0</v>
      </c>
      <c r="I50" s="321">
        <f t="shared" si="2"/>
        <v>0</v>
      </c>
      <c r="J50" s="321">
        <f t="shared" si="2"/>
        <v>0</v>
      </c>
      <c r="K50" s="321">
        <f t="shared" si="2"/>
        <v>0</v>
      </c>
      <c r="L50" s="321">
        <f t="shared" si="2"/>
        <v>0</v>
      </c>
      <c r="M50" s="321">
        <f t="shared" si="2"/>
        <v>3.9831252996101898E-4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6.9846202214426624E-3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3.9831252996101898E-4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1940.1722837340728</v>
      </c>
      <c r="H54" s="21">
        <f t="shared" si="3"/>
        <v>0</v>
      </c>
      <c r="I54" s="21">
        <f t="shared" si="3"/>
        <v>0</v>
      </c>
      <c r="J54" s="21">
        <f t="shared" si="3"/>
        <v>0</v>
      </c>
      <c r="K54" s="21">
        <f t="shared" si="3"/>
        <v>0</v>
      </c>
      <c r="L54" s="21">
        <f t="shared" si="3"/>
        <v>0</v>
      </c>
      <c r="M54" s="21">
        <f t="shared" si="3"/>
        <v>110.64236943361639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0.20593620682926003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518.02599975699752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15438.307732584981</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15481.95773258498</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46014</v>
      </c>
      <c r="C27" s="852">
        <v>9160</v>
      </c>
      <c r="D27" s="673" t="s">
        <v>871</v>
      </c>
      <c r="E27" s="672" t="s">
        <v>872</v>
      </c>
      <c r="F27" s="672" t="s">
        <v>873</v>
      </c>
      <c r="G27" s="672" t="s">
        <v>874</v>
      </c>
      <c r="H27" s="672" t="s">
        <v>875</v>
      </c>
      <c r="I27" s="672" t="s">
        <v>876</v>
      </c>
      <c r="J27" s="851">
        <v>40941</v>
      </c>
      <c r="K27" s="851">
        <v>41214</v>
      </c>
      <c r="L27" s="672" t="s">
        <v>877</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71796.01999999999</v>
      </c>
      <c r="D10" s="719">
        <f ca="1">tertiair!C16</f>
        <v>0</v>
      </c>
      <c r="E10" s="719">
        <f ca="1">tertiair!D16</f>
        <v>92078.57971433668</v>
      </c>
      <c r="F10" s="719">
        <f>tertiair!E16</f>
        <v>681.57290384917064</v>
      </c>
      <c r="G10" s="719">
        <f ca="1">tertiair!F16</f>
        <v>10443.673763334727</v>
      </c>
      <c r="H10" s="719">
        <f>tertiair!G16</f>
        <v>0</v>
      </c>
      <c r="I10" s="719">
        <f>tertiair!H16</f>
        <v>0</v>
      </c>
      <c r="J10" s="719">
        <f>tertiair!I16</f>
        <v>0</v>
      </c>
      <c r="K10" s="719">
        <f>tertiair!J16</f>
        <v>0</v>
      </c>
      <c r="L10" s="719">
        <f>tertiair!K16</f>
        <v>0</v>
      </c>
      <c r="M10" s="719">
        <f ca="1">tertiair!L16</f>
        <v>0</v>
      </c>
      <c r="N10" s="719">
        <f>tertiair!M16</f>
        <v>0</v>
      </c>
      <c r="O10" s="719">
        <f ca="1">tertiair!N16</f>
        <v>7816.2444922033901</v>
      </c>
      <c r="P10" s="719">
        <f>tertiair!O16</f>
        <v>10.943333333333335</v>
      </c>
      <c r="Q10" s="720">
        <f>tertiair!P16</f>
        <v>133.46666666666667</v>
      </c>
      <c r="R10" s="722">
        <f ca="1">SUM(C10:Q10)</f>
        <v>182960.50087372397</v>
      </c>
      <c r="S10" s="67"/>
    </row>
    <row r="11" spans="1:19" s="475" customFormat="1">
      <c r="A11" s="871" t="s">
        <v>225</v>
      </c>
      <c r="B11" s="876"/>
      <c r="C11" s="719">
        <f>huishoudens!B8</f>
        <v>73708.309567378426</v>
      </c>
      <c r="D11" s="719">
        <f>huishoudens!C8</f>
        <v>0</v>
      </c>
      <c r="E11" s="719">
        <f>huishoudens!D8</f>
        <v>134654.83299290278</v>
      </c>
      <c r="F11" s="719">
        <f>huishoudens!E8</f>
        <v>6545.0202744349026</v>
      </c>
      <c r="G11" s="719">
        <f>huishoudens!F8</f>
        <v>0</v>
      </c>
      <c r="H11" s="719">
        <f>huishoudens!G8</f>
        <v>0</v>
      </c>
      <c r="I11" s="719">
        <f>huishoudens!H8</f>
        <v>0</v>
      </c>
      <c r="J11" s="719">
        <f>huishoudens!I8</f>
        <v>0</v>
      </c>
      <c r="K11" s="719">
        <f>huishoudens!J8</f>
        <v>7147.4022664722297</v>
      </c>
      <c r="L11" s="719">
        <f>huishoudens!K8</f>
        <v>0</v>
      </c>
      <c r="M11" s="719">
        <f>huishoudens!L8</f>
        <v>0</v>
      </c>
      <c r="N11" s="719">
        <f>huishoudens!M8</f>
        <v>0</v>
      </c>
      <c r="O11" s="719">
        <f>huishoudens!N8</f>
        <v>33772.051287296745</v>
      </c>
      <c r="P11" s="719">
        <f>huishoudens!O8</f>
        <v>448.67666666666673</v>
      </c>
      <c r="Q11" s="720">
        <f>huishoudens!P8</f>
        <v>1563.4666666666667</v>
      </c>
      <c r="R11" s="722">
        <f>SUM(C11:Q11)</f>
        <v>257839.75972181844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77980.411699999997</v>
      </c>
      <c r="D13" s="719">
        <f>industrie!C18</f>
        <v>0</v>
      </c>
      <c r="E13" s="719">
        <f>industrie!D18</f>
        <v>47968.582166074877</v>
      </c>
      <c r="F13" s="719">
        <f>industrie!E18</f>
        <v>6895.893802261271</v>
      </c>
      <c r="G13" s="719">
        <f>industrie!F18</f>
        <v>59922.94575088039</v>
      </c>
      <c r="H13" s="719">
        <f>industrie!G18</f>
        <v>0</v>
      </c>
      <c r="I13" s="719">
        <f>industrie!H18</f>
        <v>0</v>
      </c>
      <c r="J13" s="719">
        <f>industrie!I18</f>
        <v>0</v>
      </c>
      <c r="K13" s="719">
        <f>industrie!J18</f>
        <v>612.49708378112791</v>
      </c>
      <c r="L13" s="719">
        <f>industrie!K18</f>
        <v>0</v>
      </c>
      <c r="M13" s="719">
        <f>industrie!L18</f>
        <v>0</v>
      </c>
      <c r="N13" s="719">
        <f>industrie!M18</f>
        <v>0</v>
      </c>
      <c r="O13" s="719">
        <f>industrie!N18</f>
        <v>22711.33885778355</v>
      </c>
      <c r="P13" s="719">
        <f>industrie!O18</f>
        <v>0</v>
      </c>
      <c r="Q13" s="720">
        <f>industrie!P18</f>
        <v>0</v>
      </c>
      <c r="R13" s="722">
        <f>SUM(C13:Q13)</f>
        <v>216091.66936078126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223484.74126737841</v>
      </c>
      <c r="D15" s="724">
        <f t="shared" ref="D15:Q15" ca="1" si="0">SUM(D9:D14)</f>
        <v>0</v>
      </c>
      <c r="E15" s="724">
        <f t="shared" ca="1" si="0"/>
        <v>274701.99487331434</v>
      </c>
      <c r="F15" s="724">
        <f t="shared" si="0"/>
        <v>14122.486980545345</v>
      </c>
      <c r="G15" s="724">
        <f t="shared" ca="1" si="0"/>
        <v>70366.619514215112</v>
      </c>
      <c r="H15" s="724">
        <f t="shared" si="0"/>
        <v>0</v>
      </c>
      <c r="I15" s="724">
        <f t="shared" si="0"/>
        <v>0</v>
      </c>
      <c r="J15" s="724">
        <f t="shared" si="0"/>
        <v>0</v>
      </c>
      <c r="K15" s="724">
        <f t="shared" si="0"/>
        <v>7759.8993502533576</v>
      </c>
      <c r="L15" s="724">
        <f t="shared" si="0"/>
        <v>0</v>
      </c>
      <c r="M15" s="724">
        <f t="shared" ca="1" si="0"/>
        <v>0</v>
      </c>
      <c r="N15" s="724">
        <f t="shared" si="0"/>
        <v>0</v>
      </c>
      <c r="O15" s="724">
        <f t="shared" ca="1" si="0"/>
        <v>64299.634637283685</v>
      </c>
      <c r="P15" s="724">
        <f t="shared" si="0"/>
        <v>459.62000000000006</v>
      </c>
      <c r="Q15" s="725">
        <f t="shared" si="0"/>
        <v>1696.9333333333334</v>
      </c>
      <c r="R15" s="726">
        <f ca="1">SUM(R9:R14)</f>
        <v>656891.9299563237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1940.1722837340728</v>
      </c>
      <c r="I18" s="719">
        <f>transport!H54</f>
        <v>0</v>
      </c>
      <c r="J18" s="719">
        <f>transport!I54</f>
        <v>0</v>
      </c>
      <c r="K18" s="719">
        <f>transport!J54</f>
        <v>0</v>
      </c>
      <c r="L18" s="719">
        <f>transport!K54</f>
        <v>0</v>
      </c>
      <c r="M18" s="719">
        <f>transport!L54</f>
        <v>0</v>
      </c>
      <c r="N18" s="719">
        <f>transport!M54</f>
        <v>110.64236943361639</v>
      </c>
      <c r="O18" s="719">
        <f>transport!N54</f>
        <v>0</v>
      </c>
      <c r="P18" s="719">
        <f>transport!O54</f>
        <v>0</v>
      </c>
      <c r="Q18" s="720">
        <f>transport!P54</f>
        <v>0</v>
      </c>
      <c r="R18" s="722">
        <f>SUM(C18:Q18)</f>
        <v>2050.8146531676894</v>
      </c>
      <c r="S18" s="67"/>
    </row>
    <row r="19" spans="1:19" s="475" customFormat="1" ht="15" thickBot="1">
      <c r="A19" s="871" t="s">
        <v>307</v>
      </c>
      <c r="B19" s="876"/>
      <c r="C19" s="728">
        <f>transport!B14</f>
        <v>52.007169115890427</v>
      </c>
      <c r="D19" s="728">
        <f>transport!C14</f>
        <v>0</v>
      </c>
      <c r="E19" s="728">
        <f>transport!D14</f>
        <v>139.06156918488207</v>
      </c>
      <c r="F19" s="728">
        <f>transport!E14</f>
        <v>1007.2017631961103</v>
      </c>
      <c r="G19" s="728">
        <f>transport!F14</f>
        <v>0</v>
      </c>
      <c r="H19" s="728">
        <f>transport!G14</f>
        <v>366291.67399554106</v>
      </c>
      <c r="I19" s="728">
        <f>transport!H14</f>
        <v>53828.405548255534</v>
      </c>
      <c r="J19" s="728">
        <f>transport!I14</f>
        <v>0</v>
      </c>
      <c r="K19" s="728">
        <f>transport!J14</f>
        <v>0</v>
      </c>
      <c r="L19" s="728">
        <f>transport!K14</f>
        <v>0</v>
      </c>
      <c r="M19" s="728">
        <f>transport!L14</f>
        <v>0</v>
      </c>
      <c r="N19" s="728">
        <f>transport!M14</f>
        <v>22845.319185775654</v>
      </c>
      <c r="O19" s="728">
        <f>transport!N14</f>
        <v>0</v>
      </c>
      <c r="P19" s="728">
        <f>transport!O14</f>
        <v>0</v>
      </c>
      <c r="Q19" s="729">
        <f>transport!P14</f>
        <v>0</v>
      </c>
      <c r="R19" s="730">
        <f>SUM(C19:Q19)</f>
        <v>444163.66923106916</v>
      </c>
      <c r="S19" s="67"/>
    </row>
    <row r="20" spans="1:19" s="475" customFormat="1" ht="15.75" thickBot="1">
      <c r="A20" s="731" t="s">
        <v>230</v>
      </c>
      <c r="B20" s="879"/>
      <c r="C20" s="874">
        <f>SUM(C17:C19)</f>
        <v>52.007169115890427</v>
      </c>
      <c r="D20" s="732">
        <f t="shared" ref="D20:R20" si="1">SUM(D17:D19)</f>
        <v>0</v>
      </c>
      <c r="E20" s="732">
        <f t="shared" si="1"/>
        <v>139.06156918488207</v>
      </c>
      <c r="F20" s="732">
        <f t="shared" si="1"/>
        <v>1007.2017631961103</v>
      </c>
      <c r="G20" s="732">
        <f t="shared" si="1"/>
        <v>0</v>
      </c>
      <c r="H20" s="732">
        <f t="shared" si="1"/>
        <v>368231.84627927514</v>
      </c>
      <c r="I20" s="732">
        <f t="shared" si="1"/>
        <v>53828.405548255534</v>
      </c>
      <c r="J20" s="732">
        <f t="shared" si="1"/>
        <v>0</v>
      </c>
      <c r="K20" s="732">
        <f t="shared" si="1"/>
        <v>0</v>
      </c>
      <c r="L20" s="732">
        <f t="shared" si="1"/>
        <v>0</v>
      </c>
      <c r="M20" s="732">
        <f t="shared" si="1"/>
        <v>0</v>
      </c>
      <c r="N20" s="732">
        <f t="shared" si="1"/>
        <v>22955.961555209269</v>
      </c>
      <c r="O20" s="732">
        <f t="shared" si="1"/>
        <v>0</v>
      </c>
      <c r="P20" s="732">
        <f t="shared" si="1"/>
        <v>0</v>
      </c>
      <c r="Q20" s="733">
        <f t="shared" si="1"/>
        <v>0</v>
      </c>
      <c r="R20" s="734">
        <f t="shared" si="1"/>
        <v>446214.48388423683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3598.1186000000002</v>
      </c>
      <c r="D22" s="728">
        <f>+landbouw!C8</f>
        <v>62.357142857142847</v>
      </c>
      <c r="E22" s="728">
        <f>+landbouw!D8</f>
        <v>9951.6874614679255</v>
      </c>
      <c r="F22" s="728">
        <f>+landbouw!E8</f>
        <v>33.327281503798829</v>
      </c>
      <c r="G22" s="728">
        <f>+landbouw!F8</f>
        <v>9129.1123290898868</v>
      </c>
      <c r="H22" s="728">
        <f>+landbouw!G8</f>
        <v>0</v>
      </c>
      <c r="I22" s="728">
        <f>+landbouw!H8</f>
        <v>0</v>
      </c>
      <c r="J22" s="728">
        <f>+landbouw!I8</f>
        <v>0</v>
      </c>
      <c r="K22" s="728">
        <f>+landbouw!J8</f>
        <v>551.6317365007726</v>
      </c>
      <c r="L22" s="728">
        <f>+landbouw!K8</f>
        <v>0</v>
      </c>
      <c r="M22" s="728">
        <f>+landbouw!L8</f>
        <v>0</v>
      </c>
      <c r="N22" s="728">
        <f>+landbouw!M8</f>
        <v>0</v>
      </c>
      <c r="O22" s="728">
        <f>+landbouw!N8</f>
        <v>0</v>
      </c>
      <c r="P22" s="728">
        <f>+landbouw!O8</f>
        <v>0</v>
      </c>
      <c r="Q22" s="729">
        <f>+landbouw!P8</f>
        <v>0</v>
      </c>
      <c r="R22" s="730">
        <f>SUM(C22:Q22)</f>
        <v>23326.234551419526</v>
      </c>
      <c r="S22" s="67"/>
    </row>
    <row r="23" spans="1:19" s="475" customFormat="1" ht="17.25" thickTop="1" thickBot="1">
      <c r="A23" s="735" t="s">
        <v>116</v>
      </c>
      <c r="B23" s="865"/>
      <c r="C23" s="736">
        <f ca="1">C20+C15+C22</f>
        <v>227134.86703649428</v>
      </c>
      <c r="D23" s="736">
        <f t="shared" ref="D23:Q23" ca="1" si="2">D20+D15+D22</f>
        <v>62.357142857142847</v>
      </c>
      <c r="E23" s="736">
        <f t="shared" ca="1" si="2"/>
        <v>284792.74390396714</v>
      </c>
      <c r="F23" s="736">
        <f t="shared" si="2"/>
        <v>15163.016025245253</v>
      </c>
      <c r="G23" s="736">
        <f t="shared" ca="1" si="2"/>
        <v>79495.731843304995</v>
      </c>
      <c r="H23" s="736">
        <f t="shared" si="2"/>
        <v>368231.84627927514</v>
      </c>
      <c r="I23" s="736">
        <f t="shared" si="2"/>
        <v>53828.405548255534</v>
      </c>
      <c r="J23" s="736">
        <f t="shared" si="2"/>
        <v>0</v>
      </c>
      <c r="K23" s="736">
        <f t="shared" si="2"/>
        <v>8311.5310867541302</v>
      </c>
      <c r="L23" s="736">
        <f t="shared" si="2"/>
        <v>0</v>
      </c>
      <c r="M23" s="736">
        <f t="shared" ca="1" si="2"/>
        <v>0</v>
      </c>
      <c r="N23" s="736">
        <f t="shared" si="2"/>
        <v>22955.961555209269</v>
      </c>
      <c r="O23" s="736">
        <f t="shared" ca="1" si="2"/>
        <v>64299.634637283685</v>
      </c>
      <c r="P23" s="736">
        <f t="shared" si="2"/>
        <v>459.62000000000006</v>
      </c>
      <c r="Q23" s="737">
        <f t="shared" si="2"/>
        <v>1696.9333333333334</v>
      </c>
      <c r="R23" s="738">
        <f ca="1">R20+R15+R22</f>
        <v>1126432.64839198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14785.400024237688</v>
      </c>
      <c r="D36" s="719">
        <f ca="1">tertiair!C20</f>
        <v>0</v>
      </c>
      <c r="E36" s="719">
        <f ca="1">tertiair!D20</f>
        <v>18599.873102296009</v>
      </c>
      <c r="F36" s="719">
        <f>tertiair!E20</f>
        <v>154.71704917376175</v>
      </c>
      <c r="G36" s="719">
        <f ca="1">tertiair!F20</f>
        <v>2788.4608948103723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36328.451070517833</v>
      </c>
    </row>
    <row r="37" spans="1:18">
      <c r="A37" s="886" t="s">
        <v>225</v>
      </c>
      <c r="B37" s="893"/>
      <c r="C37" s="719">
        <f ca="1">huishoudens!B12</f>
        <v>15179.209684102771</v>
      </c>
      <c r="D37" s="719">
        <f ca="1">huishoudens!C12</f>
        <v>0</v>
      </c>
      <c r="E37" s="719">
        <f>huishoudens!D12</f>
        <v>27200.276264566364</v>
      </c>
      <c r="F37" s="719">
        <f>huishoudens!E12</f>
        <v>1485.719602296723</v>
      </c>
      <c r="G37" s="719">
        <f>huishoudens!F12</f>
        <v>0</v>
      </c>
      <c r="H37" s="719">
        <f>huishoudens!G12</f>
        <v>0</v>
      </c>
      <c r="I37" s="719">
        <f>huishoudens!H12</f>
        <v>0</v>
      </c>
      <c r="J37" s="719">
        <f>huishoudens!I12</f>
        <v>0</v>
      </c>
      <c r="K37" s="719">
        <f>huishoudens!J12</f>
        <v>2530.1804023311693</v>
      </c>
      <c r="L37" s="719">
        <f>huishoudens!K12</f>
        <v>0</v>
      </c>
      <c r="M37" s="719">
        <f>huishoudens!L12</f>
        <v>0</v>
      </c>
      <c r="N37" s="719">
        <f>huishoudens!M12</f>
        <v>0</v>
      </c>
      <c r="O37" s="719">
        <f>huishoudens!N12</f>
        <v>0</v>
      </c>
      <c r="P37" s="719">
        <f>huishoudens!O12</f>
        <v>0</v>
      </c>
      <c r="Q37" s="829">
        <f>huishoudens!P12</f>
        <v>0</v>
      </c>
      <c r="R37" s="918">
        <f ca="1">SUM(C37:Q37)</f>
        <v>46395.385953297031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16058.990192482048</v>
      </c>
      <c r="D39" s="719">
        <f ca="1">industrie!C22</f>
        <v>0</v>
      </c>
      <c r="E39" s="719">
        <f>industrie!D22</f>
        <v>9689.6535975471252</v>
      </c>
      <c r="F39" s="719">
        <f>industrie!E22</f>
        <v>1565.3678931133086</v>
      </c>
      <c r="G39" s="719">
        <f>industrie!F22</f>
        <v>15999.426515485065</v>
      </c>
      <c r="H39" s="719">
        <f>industrie!G22</f>
        <v>0</v>
      </c>
      <c r="I39" s="719">
        <f>industrie!H22</f>
        <v>0</v>
      </c>
      <c r="J39" s="719">
        <f>industrie!I22</f>
        <v>0</v>
      </c>
      <c r="K39" s="719">
        <f>industrie!J22</f>
        <v>216.82396765851928</v>
      </c>
      <c r="L39" s="719">
        <f>industrie!K22</f>
        <v>0</v>
      </c>
      <c r="M39" s="719">
        <f>industrie!L22</f>
        <v>0</v>
      </c>
      <c r="N39" s="719">
        <f>industrie!M22</f>
        <v>0</v>
      </c>
      <c r="O39" s="719">
        <f>industrie!N22</f>
        <v>0</v>
      </c>
      <c r="P39" s="719">
        <f>industrie!O22</f>
        <v>0</v>
      </c>
      <c r="Q39" s="829">
        <f>industrie!P22</f>
        <v>0</v>
      </c>
      <c r="R39" s="919">
        <f ca="1">SUM(C39:Q39)</f>
        <v>43530.262166286062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46023.599900822504</v>
      </c>
      <c r="D41" s="764">
        <f t="shared" ref="D41:R41" ca="1" si="4">SUM(D35:D40)</f>
        <v>0</v>
      </c>
      <c r="E41" s="764">
        <f t="shared" ca="1" si="4"/>
        <v>55489.8029644095</v>
      </c>
      <c r="F41" s="764">
        <f t="shared" si="4"/>
        <v>3205.8045445837934</v>
      </c>
      <c r="G41" s="764">
        <f t="shared" ca="1" si="4"/>
        <v>18787.887410295436</v>
      </c>
      <c r="H41" s="764">
        <f t="shared" si="4"/>
        <v>0</v>
      </c>
      <c r="I41" s="764">
        <f t="shared" si="4"/>
        <v>0</v>
      </c>
      <c r="J41" s="764">
        <f t="shared" si="4"/>
        <v>0</v>
      </c>
      <c r="K41" s="764">
        <f t="shared" si="4"/>
        <v>2747.0043699896887</v>
      </c>
      <c r="L41" s="764">
        <f t="shared" si="4"/>
        <v>0</v>
      </c>
      <c r="M41" s="764">
        <f t="shared" ca="1" si="4"/>
        <v>0</v>
      </c>
      <c r="N41" s="764">
        <f t="shared" si="4"/>
        <v>0</v>
      </c>
      <c r="O41" s="764">
        <f t="shared" ca="1" si="4"/>
        <v>0</v>
      </c>
      <c r="P41" s="764">
        <f t="shared" si="4"/>
        <v>0</v>
      </c>
      <c r="Q41" s="765">
        <f t="shared" si="4"/>
        <v>0</v>
      </c>
      <c r="R41" s="766">
        <f t="shared" ca="1" si="4"/>
        <v>126254.09919010093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518.02599975699752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518.02599975699752</v>
      </c>
    </row>
    <row r="45" spans="1:18" ht="15" thickBot="1">
      <c r="A45" s="889" t="s">
        <v>307</v>
      </c>
      <c r="B45" s="899"/>
      <c r="C45" s="728">
        <f ca="1">transport!B18</f>
        <v>10.710159135654315</v>
      </c>
      <c r="D45" s="728">
        <f>transport!C18</f>
        <v>0</v>
      </c>
      <c r="E45" s="728">
        <f>transport!D18</f>
        <v>28.090436975346179</v>
      </c>
      <c r="F45" s="728">
        <f>transport!E18</f>
        <v>228.63480024551703</v>
      </c>
      <c r="G45" s="728">
        <f>transport!F18</f>
        <v>0</v>
      </c>
      <c r="H45" s="728">
        <f>transport!G18</f>
        <v>97799.876956809472</v>
      </c>
      <c r="I45" s="728">
        <f>transport!H18</f>
        <v>13403.272981515627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111470.58533468161</v>
      </c>
    </row>
    <row r="46" spans="1:18" ht="15.75" thickBot="1">
      <c r="A46" s="887" t="s">
        <v>230</v>
      </c>
      <c r="B46" s="900"/>
      <c r="C46" s="764">
        <f t="shared" ref="C46:R46" ca="1" si="5">SUM(C43:C45)</f>
        <v>10.710159135654315</v>
      </c>
      <c r="D46" s="764">
        <f t="shared" ca="1" si="5"/>
        <v>0</v>
      </c>
      <c r="E46" s="764">
        <f t="shared" si="5"/>
        <v>28.090436975346179</v>
      </c>
      <c r="F46" s="764">
        <f t="shared" si="5"/>
        <v>228.63480024551703</v>
      </c>
      <c r="G46" s="764">
        <f t="shared" si="5"/>
        <v>0</v>
      </c>
      <c r="H46" s="764">
        <f t="shared" si="5"/>
        <v>98317.902956566468</v>
      </c>
      <c r="I46" s="764">
        <f t="shared" si="5"/>
        <v>13403.272981515627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111988.61133443861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740.98289620580761</v>
      </c>
      <c r="D48" s="719">
        <f ca="1">+landbouw!C12</f>
        <v>0</v>
      </c>
      <c r="E48" s="719">
        <f>+landbouw!D12</f>
        <v>2010.2408672165211</v>
      </c>
      <c r="F48" s="719">
        <f>+landbouw!E12</f>
        <v>7.5652929013623345</v>
      </c>
      <c r="G48" s="719">
        <f>+landbouw!F12</f>
        <v>2437.472991867</v>
      </c>
      <c r="H48" s="719">
        <f>+landbouw!G12</f>
        <v>0</v>
      </c>
      <c r="I48" s="719">
        <f>+landbouw!H12</f>
        <v>0</v>
      </c>
      <c r="J48" s="719">
        <f>+landbouw!I12</f>
        <v>0</v>
      </c>
      <c r="K48" s="719">
        <f>+landbouw!J12</f>
        <v>195.2776347212735</v>
      </c>
      <c r="L48" s="719">
        <f>+landbouw!K12</f>
        <v>0</v>
      </c>
      <c r="M48" s="719">
        <f>+landbouw!L12</f>
        <v>0</v>
      </c>
      <c r="N48" s="719">
        <f>+landbouw!M12</f>
        <v>0</v>
      </c>
      <c r="O48" s="719">
        <f>+landbouw!N12</f>
        <v>0</v>
      </c>
      <c r="P48" s="719">
        <f>+landbouw!O12</f>
        <v>0</v>
      </c>
      <c r="Q48" s="720">
        <f>+landbouw!P12</f>
        <v>0</v>
      </c>
      <c r="R48" s="762">
        <f ca="1">SUM(C48:Q48)</f>
        <v>5391.5396829119645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46775.292956163968</v>
      </c>
      <c r="D53" s="774">
        <f t="shared" ref="D53:Q53" ca="1" si="6">D41+D46+D48</f>
        <v>0</v>
      </c>
      <c r="E53" s="774">
        <f t="shared" ca="1" si="6"/>
        <v>57528.134268601367</v>
      </c>
      <c r="F53" s="774">
        <f t="shared" si="6"/>
        <v>3442.0046377306726</v>
      </c>
      <c r="G53" s="774">
        <f t="shared" ca="1" si="6"/>
        <v>21225.360402162434</v>
      </c>
      <c r="H53" s="774">
        <f t="shared" si="6"/>
        <v>98317.902956566468</v>
      </c>
      <c r="I53" s="774">
        <f t="shared" si="6"/>
        <v>13403.272981515627</v>
      </c>
      <c r="J53" s="774">
        <f t="shared" si="6"/>
        <v>0</v>
      </c>
      <c r="K53" s="774">
        <f t="shared" si="6"/>
        <v>2942.2820047109622</v>
      </c>
      <c r="L53" s="774">
        <f t="shared" si="6"/>
        <v>0</v>
      </c>
      <c r="M53" s="774">
        <f t="shared" ca="1" si="6"/>
        <v>0</v>
      </c>
      <c r="N53" s="774">
        <f t="shared" si="6"/>
        <v>0</v>
      </c>
      <c r="O53" s="774">
        <f t="shared" ca="1" si="6"/>
        <v>0</v>
      </c>
      <c r="P53" s="774">
        <f>P41+P46+P48</f>
        <v>0</v>
      </c>
      <c r="Q53" s="775">
        <f t="shared" si="6"/>
        <v>0</v>
      </c>
      <c r="R53" s="776">
        <f ca="1">R41+R46+R48</f>
        <v>243634.25020745149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0.20593620682926006</v>
      </c>
      <c r="D55" s="837">
        <f t="shared" ca="1" si="7"/>
        <v>0</v>
      </c>
      <c r="E55" s="837">
        <f t="shared" ca="1" si="7"/>
        <v>0.20200000000000001</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15438.307732584981</v>
      </c>
      <c r="C66" s="796">
        <f>'lokale energieproductie'!B6</f>
        <v>15438.307732584981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15481.95773258498</v>
      </c>
      <c r="C69" s="804">
        <f>SUM(C64:C68)</f>
        <v>15481.95773258498</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73708.309567378426</v>
      </c>
      <c r="C4" s="479">
        <f>huishoudens!C8</f>
        <v>0</v>
      </c>
      <c r="D4" s="479">
        <f>huishoudens!D8</f>
        <v>134654.83299290278</v>
      </c>
      <c r="E4" s="479">
        <f>huishoudens!E8</f>
        <v>6545.0202744349026</v>
      </c>
      <c r="F4" s="479">
        <f>huishoudens!F8</f>
        <v>0</v>
      </c>
      <c r="G4" s="479">
        <f>huishoudens!G8</f>
        <v>0</v>
      </c>
      <c r="H4" s="479">
        <f>huishoudens!H8</f>
        <v>0</v>
      </c>
      <c r="I4" s="479">
        <f>huishoudens!I8</f>
        <v>0</v>
      </c>
      <c r="J4" s="479">
        <f>huishoudens!J8</f>
        <v>7147.4022664722297</v>
      </c>
      <c r="K4" s="479">
        <f>huishoudens!K8</f>
        <v>0</v>
      </c>
      <c r="L4" s="479">
        <f>huishoudens!L8</f>
        <v>0</v>
      </c>
      <c r="M4" s="479">
        <f>huishoudens!M8</f>
        <v>0</v>
      </c>
      <c r="N4" s="479">
        <f>huishoudens!N8</f>
        <v>33772.051287296745</v>
      </c>
      <c r="O4" s="479">
        <f>huishoudens!O8</f>
        <v>448.67666666666673</v>
      </c>
      <c r="P4" s="480">
        <f>huishoudens!P8</f>
        <v>1563.4666666666667</v>
      </c>
      <c r="Q4" s="481">
        <f>SUM(B4:P4)</f>
        <v>257839.75972181844</v>
      </c>
    </row>
    <row r="5" spans="1:17">
      <c r="A5" s="478" t="s">
        <v>156</v>
      </c>
      <c r="B5" s="479">
        <f ca="1">tertiair!B16</f>
        <v>69216.762999999992</v>
      </c>
      <c r="C5" s="479">
        <f ca="1">tertiair!C16</f>
        <v>0</v>
      </c>
      <c r="D5" s="479">
        <f ca="1">tertiair!D16</f>
        <v>92078.57971433668</v>
      </c>
      <c r="E5" s="479">
        <f>tertiair!E16</f>
        <v>681.57290384917064</v>
      </c>
      <c r="F5" s="479">
        <f ca="1">tertiair!F16</f>
        <v>10443.673763334727</v>
      </c>
      <c r="G5" s="479">
        <f>tertiair!G16</f>
        <v>0</v>
      </c>
      <c r="H5" s="479">
        <f>tertiair!H16</f>
        <v>0</v>
      </c>
      <c r="I5" s="479">
        <f>tertiair!I16</f>
        <v>0</v>
      </c>
      <c r="J5" s="479">
        <f>tertiair!J16</f>
        <v>0</v>
      </c>
      <c r="K5" s="479">
        <f>tertiair!K16</f>
        <v>0</v>
      </c>
      <c r="L5" s="479">
        <f ca="1">tertiair!L16</f>
        <v>0</v>
      </c>
      <c r="M5" s="479">
        <f>tertiair!M16</f>
        <v>0</v>
      </c>
      <c r="N5" s="479">
        <f ca="1">tertiair!N16</f>
        <v>7816.2444922033901</v>
      </c>
      <c r="O5" s="479">
        <f>tertiair!O16</f>
        <v>10.943333333333335</v>
      </c>
      <c r="P5" s="480">
        <f>tertiair!P16</f>
        <v>133.46666666666667</v>
      </c>
      <c r="Q5" s="478">
        <f t="shared" ref="Q5:Q13" ca="1" si="0">SUM(B5:P5)</f>
        <v>180381.24387372399</v>
      </c>
    </row>
    <row r="6" spans="1:17">
      <c r="A6" s="478" t="s">
        <v>194</v>
      </c>
      <c r="B6" s="479">
        <f>'openbare verlichting'!B8</f>
        <v>2579.2570000000001</v>
      </c>
      <c r="C6" s="479"/>
      <c r="D6" s="479"/>
      <c r="E6" s="479"/>
      <c r="F6" s="479"/>
      <c r="G6" s="479"/>
      <c r="H6" s="479"/>
      <c r="I6" s="479"/>
      <c r="J6" s="479"/>
      <c r="K6" s="479"/>
      <c r="L6" s="479"/>
      <c r="M6" s="479"/>
      <c r="N6" s="479"/>
      <c r="O6" s="479"/>
      <c r="P6" s="480"/>
      <c r="Q6" s="478">
        <f t="shared" si="0"/>
        <v>2579.2570000000001</v>
      </c>
    </row>
    <row r="7" spans="1:17">
      <c r="A7" s="478" t="s">
        <v>112</v>
      </c>
      <c r="B7" s="479">
        <f>landbouw!B8</f>
        <v>3598.1186000000002</v>
      </c>
      <c r="C7" s="479">
        <f>landbouw!C8</f>
        <v>62.357142857142847</v>
      </c>
      <c r="D7" s="479">
        <f>landbouw!D8</f>
        <v>9951.6874614679255</v>
      </c>
      <c r="E7" s="479">
        <f>landbouw!E8</f>
        <v>33.327281503798829</v>
      </c>
      <c r="F7" s="479">
        <f>landbouw!F8</f>
        <v>9129.1123290898868</v>
      </c>
      <c r="G7" s="479">
        <f>landbouw!G8</f>
        <v>0</v>
      </c>
      <c r="H7" s="479">
        <f>landbouw!H8</f>
        <v>0</v>
      </c>
      <c r="I7" s="479">
        <f>landbouw!I8</f>
        <v>0</v>
      </c>
      <c r="J7" s="479">
        <f>landbouw!J8</f>
        <v>551.6317365007726</v>
      </c>
      <c r="K7" s="479">
        <f>landbouw!K8</f>
        <v>0</v>
      </c>
      <c r="L7" s="479">
        <f>landbouw!L8</f>
        <v>0</v>
      </c>
      <c r="M7" s="479">
        <f>landbouw!M8</f>
        <v>0</v>
      </c>
      <c r="N7" s="479">
        <f>landbouw!N8</f>
        <v>0</v>
      </c>
      <c r="O7" s="479">
        <f>landbouw!O8</f>
        <v>0</v>
      </c>
      <c r="P7" s="480">
        <f>landbouw!P8</f>
        <v>0</v>
      </c>
      <c r="Q7" s="478">
        <f t="shared" si="0"/>
        <v>23326.234551419526</v>
      </c>
    </row>
    <row r="8" spans="1:17">
      <c r="A8" s="478" t="s">
        <v>650</v>
      </c>
      <c r="B8" s="479">
        <f>industrie!B18</f>
        <v>77980.411699999997</v>
      </c>
      <c r="C8" s="479">
        <f>industrie!C18</f>
        <v>0</v>
      </c>
      <c r="D8" s="479">
        <f>industrie!D18</f>
        <v>47968.582166074877</v>
      </c>
      <c r="E8" s="479">
        <f>industrie!E18</f>
        <v>6895.893802261271</v>
      </c>
      <c r="F8" s="479">
        <f>industrie!F18</f>
        <v>59922.94575088039</v>
      </c>
      <c r="G8" s="479">
        <f>industrie!G18</f>
        <v>0</v>
      </c>
      <c r="H8" s="479">
        <f>industrie!H18</f>
        <v>0</v>
      </c>
      <c r="I8" s="479">
        <f>industrie!I18</f>
        <v>0</v>
      </c>
      <c r="J8" s="479">
        <f>industrie!J18</f>
        <v>612.49708378112791</v>
      </c>
      <c r="K8" s="479">
        <f>industrie!K18</f>
        <v>0</v>
      </c>
      <c r="L8" s="479">
        <f>industrie!L18</f>
        <v>0</v>
      </c>
      <c r="M8" s="479">
        <f>industrie!M18</f>
        <v>0</v>
      </c>
      <c r="N8" s="479">
        <f>industrie!N18</f>
        <v>22711.33885778355</v>
      </c>
      <c r="O8" s="479">
        <f>industrie!O18</f>
        <v>0</v>
      </c>
      <c r="P8" s="480">
        <f>industrie!P18</f>
        <v>0</v>
      </c>
      <c r="Q8" s="478">
        <f t="shared" si="0"/>
        <v>216091.66936078126</v>
      </c>
    </row>
    <row r="9" spans="1:17" s="484" customFormat="1">
      <c r="A9" s="482" t="s">
        <v>571</v>
      </c>
      <c r="B9" s="483">
        <f>transport!B14</f>
        <v>52.007169115890427</v>
      </c>
      <c r="C9" s="483"/>
      <c r="D9" s="483">
        <f>transport!D14</f>
        <v>139.06156918488207</v>
      </c>
      <c r="E9" s="483">
        <f>transport!E14</f>
        <v>1007.2017631961103</v>
      </c>
      <c r="F9" s="483"/>
      <c r="G9" s="483">
        <f>transport!G14</f>
        <v>366291.67399554106</v>
      </c>
      <c r="H9" s="483">
        <f>transport!H14</f>
        <v>53828.405548255534</v>
      </c>
      <c r="I9" s="483"/>
      <c r="J9" s="483"/>
      <c r="K9" s="483"/>
      <c r="L9" s="483"/>
      <c r="M9" s="483">
        <f>transport!M14</f>
        <v>22845.319185775654</v>
      </c>
      <c r="N9" s="483"/>
      <c r="O9" s="483"/>
      <c r="P9" s="483"/>
      <c r="Q9" s="482">
        <f>SUM(B9:P9)</f>
        <v>444163.66923106916</v>
      </c>
    </row>
    <row r="10" spans="1:17">
      <c r="A10" s="478" t="s">
        <v>561</v>
      </c>
      <c r="B10" s="479">
        <f>transport!B54</f>
        <v>0</v>
      </c>
      <c r="C10" s="479"/>
      <c r="D10" s="479">
        <f>transport!D54</f>
        <v>0</v>
      </c>
      <c r="E10" s="479"/>
      <c r="F10" s="479"/>
      <c r="G10" s="479">
        <f>transport!G54</f>
        <v>1940.1722837340728</v>
      </c>
      <c r="H10" s="479"/>
      <c r="I10" s="479"/>
      <c r="J10" s="479"/>
      <c r="K10" s="479"/>
      <c r="L10" s="479"/>
      <c r="M10" s="479">
        <f>transport!M54</f>
        <v>110.64236943361639</v>
      </c>
      <c r="N10" s="479"/>
      <c r="O10" s="479"/>
      <c r="P10" s="480"/>
      <c r="Q10" s="478">
        <f t="shared" si="0"/>
        <v>2050.8146531676894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227134.86703649428</v>
      </c>
      <c r="C14" s="489">
        <f t="shared" ref="C14:Q14" ca="1" si="1">SUM(C4:C13)</f>
        <v>62.357142857142847</v>
      </c>
      <c r="D14" s="489">
        <f t="shared" ca="1" si="1"/>
        <v>284792.74390396714</v>
      </c>
      <c r="E14" s="489">
        <f t="shared" si="1"/>
        <v>15163.016025245253</v>
      </c>
      <c r="F14" s="489">
        <f t="shared" ca="1" si="1"/>
        <v>79495.731843304995</v>
      </c>
      <c r="G14" s="489">
        <f t="shared" si="1"/>
        <v>368231.84627927514</v>
      </c>
      <c r="H14" s="489">
        <f t="shared" si="1"/>
        <v>53828.405548255534</v>
      </c>
      <c r="I14" s="489">
        <f t="shared" si="1"/>
        <v>0</v>
      </c>
      <c r="J14" s="489">
        <f t="shared" si="1"/>
        <v>8311.5310867541302</v>
      </c>
      <c r="K14" s="489">
        <f t="shared" si="1"/>
        <v>0</v>
      </c>
      <c r="L14" s="489">
        <f t="shared" ca="1" si="1"/>
        <v>0</v>
      </c>
      <c r="M14" s="489">
        <f t="shared" si="1"/>
        <v>22955.961555209269</v>
      </c>
      <c r="N14" s="489">
        <f t="shared" ca="1" si="1"/>
        <v>64299.634637283685</v>
      </c>
      <c r="O14" s="489">
        <f t="shared" si="1"/>
        <v>459.62000000000006</v>
      </c>
      <c r="P14" s="490">
        <f t="shared" si="1"/>
        <v>1696.9333333333334</v>
      </c>
      <c r="Q14" s="490">
        <f t="shared" ca="1" si="1"/>
        <v>1126432.64839198</v>
      </c>
    </row>
    <row r="16" spans="1:17">
      <c r="A16" s="492" t="s">
        <v>566</v>
      </c>
      <c r="B16" s="842">
        <f ca="1">huishoudens!B10</f>
        <v>0.20593620682926003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15179.209684102771</v>
      </c>
      <c r="C21" s="479">
        <f t="shared" ref="C21:C28" ca="1" si="3">C4*$C$16</f>
        <v>0</v>
      </c>
      <c r="D21" s="479">
        <f t="shared" ref="D21:D30" si="4">D4*$D$16</f>
        <v>27200.276264566364</v>
      </c>
      <c r="E21" s="479">
        <f t="shared" ref="E21:E30" si="5">E4*$E$16</f>
        <v>1485.719602296723</v>
      </c>
      <c r="F21" s="479">
        <f t="shared" ref="F21:F28" si="6">F4*$F$16</f>
        <v>0</v>
      </c>
      <c r="G21" s="479">
        <f t="shared" ref="G21:G30" si="7">G4*$G$16</f>
        <v>0</v>
      </c>
      <c r="H21" s="479">
        <f t="shared" ref="H21:H30" si="8">H4*$H$16</f>
        <v>0</v>
      </c>
      <c r="I21" s="479">
        <f t="shared" ref="I21:I28" si="9">I4*$I$16</f>
        <v>0</v>
      </c>
      <c r="J21" s="479">
        <f t="shared" ref="J21:J28" si="10">J4*$J$16</f>
        <v>2530.1804023311693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46395.385953297031</v>
      </c>
    </row>
    <row r="22" spans="1:17">
      <c r="A22" s="478" t="s">
        <v>156</v>
      </c>
      <c r="B22" s="479">
        <f t="shared" ca="1" si="2"/>
        <v>14254.237621219871</v>
      </c>
      <c r="C22" s="479">
        <f t="shared" ca="1" si="3"/>
        <v>0</v>
      </c>
      <c r="D22" s="479">
        <f t="shared" ca="1" si="4"/>
        <v>18599.873102296009</v>
      </c>
      <c r="E22" s="479">
        <f t="shared" si="5"/>
        <v>154.71704917376175</v>
      </c>
      <c r="F22" s="479">
        <f t="shared" ca="1" si="6"/>
        <v>2788.4608948103723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35797.288667500012</v>
      </c>
    </row>
    <row r="23" spans="1:17">
      <c r="A23" s="478" t="s">
        <v>194</v>
      </c>
      <c r="B23" s="479">
        <f t="shared" ca="1" si="2"/>
        <v>531.1624030178167</v>
      </c>
      <c r="C23" s="479"/>
      <c r="D23" s="479"/>
      <c r="E23" s="479"/>
      <c r="F23" s="479"/>
      <c r="G23" s="479"/>
      <c r="H23" s="479"/>
      <c r="I23" s="479"/>
      <c r="J23" s="479"/>
      <c r="K23" s="479"/>
      <c r="L23" s="479"/>
      <c r="M23" s="479"/>
      <c r="N23" s="479"/>
      <c r="O23" s="479"/>
      <c r="P23" s="480"/>
      <c r="Q23" s="478">
        <f t="shared" ca="1" si="17"/>
        <v>531.1624030178167</v>
      </c>
    </row>
    <row r="24" spans="1:17">
      <c r="A24" s="478" t="s">
        <v>112</v>
      </c>
      <c r="B24" s="479">
        <f t="shared" ca="1" si="2"/>
        <v>740.98289620580761</v>
      </c>
      <c r="C24" s="479">
        <f t="shared" ca="1" si="3"/>
        <v>0</v>
      </c>
      <c r="D24" s="479">
        <f t="shared" si="4"/>
        <v>2010.2408672165211</v>
      </c>
      <c r="E24" s="479">
        <f t="shared" si="5"/>
        <v>7.5652929013623345</v>
      </c>
      <c r="F24" s="479">
        <f t="shared" si="6"/>
        <v>2437.472991867</v>
      </c>
      <c r="G24" s="479">
        <f t="shared" si="7"/>
        <v>0</v>
      </c>
      <c r="H24" s="479">
        <f t="shared" si="8"/>
        <v>0</v>
      </c>
      <c r="I24" s="479">
        <f t="shared" si="9"/>
        <v>0</v>
      </c>
      <c r="J24" s="479">
        <f t="shared" si="10"/>
        <v>195.2776347212735</v>
      </c>
      <c r="K24" s="479">
        <f t="shared" si="11"/>
        <v>0</v>
      </c>
      <c r="L24" s="479">
        <f t="shared" si="12"/>
        <v>0</v>
      </c>
      <c r="M24" s="479">
        <f t="shared" si="13"/>
        <v>0</v>
      </c>
      <c r="N24" s="479">
        <f t="shared" si="14"/>
        <v>0</v>
      </c>
      <c r="O24" s="479">
        <f t="shared" si="15"/>
        <v>0</v>
      </c>
      <c r="P24" s="480">
        <f t="shared" si="16"/>
        <v>0</v>
      </c>
      <c r="Q24" s="478">
        <f t="shared" ca="1" si="17"/>
        <v>5391.5396829119645</v>
      </c>
    </row>
    <row r="25" spans="1:17">
      <c r="A25" s="478" t="s">
        <v>650</v>
      </c>
      <c r="B25" s="479">
        <f t="shared" ca="1" si="2"/>
        <v>16058.990192482048</v>
      </c>
      <c r="C25" s="479">
        <f t="shared" ca="1" si="3"/>
        <v>0</v>
      </c>
      <c r="D25" s="479">
        <f t="shared" si="4"/>
        <v>9689.6535975471252</v>
      </c>
      <c r="E25" s="479">
        <f t="shared" si="5"/>
        <v>1565.3678931133086</v>
      </c>
      <c r="F25" s="479">
        <f t="shared" si="6"/>
        <v>15999.426515485065</v>
      </c>
      <c r="G25" s="479">
        <f t="shared" si="7"/>
        <v>0</v>
      </c>
      <c r="H25" s="479">
        <f t="shared" si="8"/>
        <v>0</v>
      </c>
      <c r="I25" s="479">
        <f t="shared" si="9"/>
        <v>0</v>
      </c>
      <c r="J25" s="479">
        <f t="shared" si="10"/>
        <v>216.82396765851928</v>
      </c>
      <c r="K25" s="479">
        <f t="shared" si="11"/>
        <v>0</v>
      </c>
      <c r="L25" s="479">
        <f t="shared" si="12"/>
        <v>0</v>
      </c>
      <c r="M25" s="479">
        <f t="shared" si="13"/>
        <v>0</v>
      </c>
      <c r="N25" s="479">
        <f t="shared" si="14"/>
        <v>0</v>
      </c>
      <c r="O25" s="479">
        <f t="shared" si="15"/>
        <v>0</v>
      </c>
      <c r="P25" s="480">
        <f t="shared" si="16"/>
        <v>0</v>
      </c>
      <c r="Q25" s="478">
        <f t="shared" ca="1" si="17"/>
        <v>43530.262166286062</v>
      </c>
    </row>
    <row r="26" spans="1:17" s="484" customFormat="1">
      <c r="A26" s="482" t="s">
        <v>571</v>
      </c>
      <c r="B26" s="836">
        <f t="shared" ca="1" si="2"/>
        <v>10.710159135654315</v>
      </c>
      <c r="C26" s="483"/>
      <c r="D26" s="483">
        <f t="shared" si="4"/>
        <v>28.090436975346179</v>
      </c>
      <c r="E26" s="483">
        <f t="shared" si="5"/>
        <v>228.63480024551703</v>
      </c>
      <c r="F26" s="483"/>
      <c r="G26" s="483">
        <f t="shared" si="7"/>
        <v>97799.876956809472</v>
      </c>
      <c r="H26" s="483">
        <f t="shared" si="8"/>
        <v>13403.272981515627</v>
      </c>
      <c r="I26" s="483"/>
      <c r="J26" s="483"/>
      <c r="K26" s="483"/>
      <c r="L26" s="483"/>
      <c r="M26" s="483">
        <f t="shared" si="13"/>
        <v>0</v>
      </c>
      <c r="N26" s="483"/>
      <c r="O26" s="483"/>
      <c r="P26" s="494"/>
      <c r="Q26" s="482">
        <f t="shared" ca="1" si="17"/>
        <v>111470.58533468161</v>
      </c>
    </row>
    <row r="27" spans="1:17">
      <c r="A27" s="478" t="s">
        <v>561</v>
      </c>
      <c r="B27" s="479">
        <f t="shared" ca="1" si="2"/>
        <v>0</v>
      </c>
      <c r="C27" s="479"/>
      <c r="D27" s="483">
        <f t="shared" si="4"/>
        <v>0</v>
      </c>
      <c r="E27" s="479"/>
      <c r="F27" s="479"/>
      <c r="G27" s="479">
        <f t="shared" si="7"/>
        <v>518.02599975699752</v>
      </c>
      <c r="H27" s="479"/>
      <c r="I27" s="479"/>
      <c r="J27" s="479"/>
      <c r="K27" s="479"/>
      <c r="L27" s="479"/>
      <c r="M27" s="479">
        <f t="shared" si="13"/>
        <v>0</v>
      </c>
      <c r="N27" s="479"/>
      <c r="O27" s="479"/>
      <c r="P27" s="480"/>
      <c r="Q27" s="478">
        <f t="shared" ca="1" si="17"/>
        <v>518.02599975699752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46775.292956163968</v>
      </c>
      <c r="C31" s="489">
        <f t="shared" ca="1" si="18"/>
        <v>0</v>
      </c>
      <c r="D31" s="489">
        <f t="shared" ca="1" si="18"/>
        <v>57528.134268601367</v>
      </c>
      <c r="E31" s="489">
        <f t="shared" si="18"/>
        <v>3442.0046377306726</v>
      </c>
      <c r="F31" s="489">
        <f t="shared" ca="1" si="18"/>
        <v>21225.360402162438</v>
      </c>
      <c r="G31" s="489">
        <f t="shared" si="18"/>
        <v>98317.902956566468</v>
      </c>
      <c r="H31" s="489">
        <f t="shared" si="18"/>
        <v>13403.272981515627</v>
      </c>
      <c r="I31" s="489">
        <f t="shared" si="18"/>
        <v>0</v>
      </c>
      <c r="J31" s="489">
        <f t="shared" si="18"/>
        <v>2942.2820047109622</v>
      </c>
      <c r="K31" s="489">
        <f t="shared" si="18"/>
        <v>0</v>
      </c>
      <c r="L31" s="489">
        <f t="shared" ca="1" si="18"/>
        <v>0</v>
      </c>
      <c r="M31" s="489">
        <f t="shared" si="18"/>
        <v>0</v>
      </c>
      <c r="N31" s="489">
        <f t="shared" ca="1" si="18"/>
        <v>0</v>
      </c>
      <c r="O31" s="489">
        <f t="shared" si="18"/>
        <v>0</v>
      </c>
      <c r="P31" s="490">
        <f t="shared" si="18"/>
        <v>0</v>
      </c>
      <c r="Q31" s="490">
        <f t="shared" ca="1" si="18"/>
        <v>243634.25020745152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0.20593620682926003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0.20593620682926003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0.20593620682926003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2019-01-01T21:34:05Z</dcterms:modified>
</cp:coreProperties>
</file>