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F8"/>
  <c r="D16" i="16"/>
  <c r="C16" i="15"/>
  <c r="D6" i="17"/>
  <c r="D8" s="1"/>
  <c r="J15" i="16"/>
  <c r="B13"/>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15"/>
  <c r="B34" i="13"/>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C5" i="48"/>
  <c r="P13" i="14" l="1"/>
  <c r="G14" i="22"/>
  <c r="N7" i="48"/>
  <c r="N24" s="1"/>
  <c r="F22" i="14"/>
  <c r="E12" i="17"/>
  <c r="F48" i="14" s="1"/>
  <c r="P41"/>
  <c r="P53" s="1"/>
  <c r="O8" i="48"/>
  <c r="O25" s="1"/>
  <c r="D8"/>
  <c r="D25" s="1"/>
  <c r="J16" i="15"/>
  <c r="J5" i="48" s="1"/>
  <c r="J22" s="1"/>
  <c r="E16" i="15"/>
  <c r="F10" i="14" s="1"/>
  <c r="H14" i="22"/>
  <c r="I19" i="14" s="1"/>
  <c r="I20" s="1"/>
  <c r="I23" s="1"/>
  <c r="N12" i="17"/>
  <c r="O48" i="14" s="1"/>
  <c r="L7" i="48"/>
  <c r="L24" s="1"/>
  <c r="M22" i="14"/>
  <c r="R22" s="1"/>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E5" i="48"/>
  <c r="E22" s="1"/>
  <c r="P14"/>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O14" i="48" l="1"/>
  <c r="D31"/>
  <c r="N20" i="14"/>
  <c r="N23" s="1"/>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B22"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N22" i="16"/>
  <c r="O39" i="14" s="1"/>
  <c r="O41" s="1"/>
  <c r="F8" i="48"/>
  <c r="Q4"/>
  <c r="N22"/>
  <c r="R11" i="14"/>
  <c r="J21" i="48"/>
  <c r="C18" i="15" l="1"/>
  <c r="C20" s="1"/>
  <c r="D36" i="14" s="1"/>
  <c r="C10" i="13"/>
  <c r="C16" i="48" s="1"/>
  <c r="C21" s="1"/>
  <c r="C17" i="49"/>
  <c r="C29" i="20"/>
  <c r="C20" i="16"/>
  <c r="C22" s="1"/>
  <c r="D39" i="14" s="1"/>
  <c r="C16" i="22"/>
  <c r="C10" i="17"/>
  <c r="C12" s="1"/>
  <c r="D48" i="14" s="1"/>
  <c r="C56" i="22"/>
  <c r="C58" s="1"/>
  <c r="D44" i="14" s="1"/>
  <c r="D46" s="1"/>
  <c r="C17" i="19"/>
  <c r="C19" s="1"/>
  <c r="D35" i="14" s="1"/>
  <c r="N55"/>
  <c r="F22" i="16"/>
  <c r="G39" i="14" s="1"/>
  <c r="G41" s="1"/>
  <c r="N25" i="48"/>
  <c r="N14"/>
  <c r="N31"/>
  <c r="K41" i="14"/>
  <c r="K53" s="1"/>
  <c r="K55" s="1"/>
  <c r="E14" i="48"/>
  <c r="K15" i="14"/>
  <c r="K23" s="1"/>
  <c r="H55"/>
  <c r="E55"/>
  <c r="C78"/>
  <c r="C81" s="1"/>
  <c r="J14" i="48"/>
  <c r="J31"/>
  <c r="Q8"/>
  <c r="Q14" s="1"/>
  <c r="R19" i="14"/>
  <c r="R20" s="1"/>
  <c r="H14" i="48"/>
  <c r="G31"/>
  <c r="H26"/>
  <c r="H31" s="1"/>
  <c r="F55" i="14"/>
  <c r="O53"/>
  <c r="G53"/>
  <c r="G55" s="1"/>
  <c r="O69" s="1"/>
  <c r="B9" i="6" s="1"/>
  <c r="B12" s="1"/>
  <c r="M53" i="14"/>
  <c r="M55" s="1"/>
  <c r="C12" i="13"/>
  <c r="D37" i="14" s="1"/>
  <c r="D41" s="1"/>
  <c r="C24" i="48"/>
  <c r="C28"/>
  <c r="R13" i="14"/>
  <c r="R15" s="1"/>
  <c r="F25" i="48"/>
  <c r="F31" s="1"/>
  <c r="F14"/>
  <c r="C22" l="1"/>
  <c r="C25"/>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<sst xmlns="http://schemas.openxmlformats.org/spreadsheetml/2006/main" count="2155" uniqueCount="880">
  <si>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</si>
  <si>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</si>
  <si>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</si>
  <si>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</si>
  <si>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</si>
  <si>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</si>
  <si>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</si>
  <si>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</si>
  <si>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</si>
  <si>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</si>
  <si>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</si>
  <si>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</si>
  <si>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</si>
  <si>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</si>
  <si>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</si>
  <si>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</si>
  <si>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</si>
  <si>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</si>
  <si>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</si>
  <si>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</si>
  <si>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</si>
  <si>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</si>
  <si>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</si>
  <si>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</si>
  <si>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</si>
  <si>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</si>
  <si>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</si>
  <si>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</si>
  <si>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</si>
  <si>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</si>
  <si>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</si>
  <si>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</si>
  <si>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</si>
  <si>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</si>
  <si>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</si>
  <si>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</si>
  <si>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</si>
  <si>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</si>
  <si>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</si>
  <si>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</si>
  <si>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</si>
  <si>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</si>
  <si>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</si>
  <si>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</si>
  <si>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</si>
  <si>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</si>
  <si>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</si>
  <si>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</si>
  <si>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</si>
  <si>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</si>
  <si>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</si>
  <si>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</si>
  <si>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</si>
  <si>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</si>
  <si>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</si>
  <si>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</si>
  <si>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</si>
  <si>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</si>
  <si>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</si>
  <si>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</si>
  <si>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</si>
  <si>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</si>
  <si>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</si>
  <si>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</si>
  <si>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</si>
  <si>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</si>
  <si>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</si>
  <si>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</si>
  <si>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</si>
  <si>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</si>
  <si>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</si>
  <si>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</si>
  <si>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</si>
  <si>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</si>
  <si>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</si>
  <si>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</si>
  <si>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</si>
  <si>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</si>
  <si>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</si>
  <si>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</si>
  <si>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</si>
  <si>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</si>
  <si>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</si>
  <si>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</si>
  <si>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</si>
  <si>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</si>
  <si>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</si>
  <si>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</si>
  <si>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</si>
  <si>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</si>
  <si>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</si>
  <si>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</si>
  <si>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</si>
  <si>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</si>
  <si>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</si>
  <si>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</si>
  <si>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</si>
  <si>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</si>
  <si>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</si>
  <si>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</si>
  <si>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</si>
  <si>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</si>
  <si>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</si>
  <si>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</si>
  <si>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</si>
  <si>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</si>
  <si>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</si>
  <si>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</si>
  <si>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</si>
  <si>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</si>
  <si>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</si>
  <si>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</si>
  <si>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</si>
  <si>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</si>
  <si>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</si>
  <si>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</si>
  <si>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</si>
  <si>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</si>
  <si>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</si>
  <si>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</si>
  <si>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</si>
  <si>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</si>
  <si>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</si>
  <si>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</si>
  <si>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</si>
  <si>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</si>
  <si>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</si>
  <si>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</si>
  <si>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</si>
  <si>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</si>
  <si>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</si>
  <si>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</si>
  <si>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</si>
  <si>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</si>
  <si>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</si>
  <si>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</si>
  <si>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</si>
  <si>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</si>
  <si>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</si>
  <si>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</si>
  <si>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</si>
  <si>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</si>
  <si>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</si>
  <si>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</si>
  <si>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</si>
  <si>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</si>
  <si>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</si>
  <si>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</si>
  <si>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</si>
  <si>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</si>
  <si>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</si>
  <si>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</si>
  <si>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</si>
  <si>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</si>
  <si>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</si>
  <si>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</si>
  <si>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</si>
  <si>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</si>
  <si>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</si>
  <si>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</si>
  <si>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</si>
  <si>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</si>
  <si>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</si>
  <si>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</si>
  <si>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</si>
  <si>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</si>
  <si>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</si>
  <si>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</si>
  <si>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</si>
  <si>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</si>
  <si>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</si>
  <si>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</si>
  <si>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</si>
  <si>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</si>
  <si>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</si>
  <si>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</si>
  <si>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</si>
  <si>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</si>
  <si>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</si>
  <si>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</si>
  <si>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</si>
  <si>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</si>
  <si>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</si>
  <si>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</si>
  <si>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</si>
  <si>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</si>
  <si>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</si>
  <si>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</si>
  <si>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</si>
  <si>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</si>
  <si>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</si>
  <si>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</si>
  <si>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</si>
  <si>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</si>
  <si>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</si>
  <si>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</si>
  <si>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</si>
  <si>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</si>
  <si>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</si>
  <si>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</si>
  <si>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</si>
  <si>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</si>
  <si>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</si>
  <si>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</si>
  <si>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</si>
  <si>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</si>
  <si>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</si>
  <si>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</si>
  <si>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</si>
  <si>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</si>
  <si>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</si>
  <si>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</si>
  <si>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</si>
  <si>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</si>
  <si>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</si>
  <si>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</si>
  <si>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</si>
  <si>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</si>
  <si>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</si>
  <si>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</si>
  <si>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</si>
  <si>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</si>
  <si>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</si>
  <si>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</si>
  <si>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</si>
  <si>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</si>
  <si>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</si>
  <si>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</si>
  <si>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</si>
  <si>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</si>
  <si>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</si>
  <si>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</si>
  <si>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</si>
  <si>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</si>
  <si>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</si>
  <si>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</si>
  <si>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</si>
  <si>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</si>
  <si>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</si>
  <si>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</si>
  <si>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</si>
  <si>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</si>
  <si>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</si>
  <si>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</si>
  <si>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</si>
  <si>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</si>
  <si>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</si>
  <si>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</si>
  <si>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</si>
  <si>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</si>
  <si>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</si>
  <si>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</si>
  <si>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</si>
  <si>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</si>
  <si>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</si>
  <si>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</si>
  <si>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</si>
  <si>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</si>
  <si>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</si>
  <si>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</si>
  <si>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</si>
  <si>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</si>
  <si>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</si>
  <si>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</si>
  <si>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</si>
  <si>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</si>
  <si>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</si>
  <si>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</si>
  <si>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</si>
  <si>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</si>
  <si>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</si>
  <si>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</si>
  <si>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</si>
  <si>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</si>
  <si>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</si>
  <si>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</si>
  <si>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</si>
  <si>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</si>
  <si>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</si>
  <si>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</si>
  <si>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</si>
  <si>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</si>
  <si>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</si>
  <si>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</si>
  <si>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</si>
  <si>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</si>
  <si>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</si>
  <si>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</si>
  <si>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</si>
  <si>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</si>
  <si>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</si>
  <si>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</si>
  <si>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</si>
  <si>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</si>
  <si>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</si>
  <si>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</si>
  <si>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</si>
  <si>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</si>
  <si>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</si>
  <si>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</si>
  <si>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</si>
  <si>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</si>
  <si>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</si>
  <si>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</si>
  <si>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</si>
  <si>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</si>
  <si>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</si>
  <si>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</si>
  <si>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</si>
  <si>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</si>
  <si>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</si>
  <si>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</si>
  <si>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</si>
  <si>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</si>
  <si>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</si>
  <si>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</si>
  <si>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</si>
  <si>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</si>
  <si>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</si>
  <si>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</si>
  <si>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</si>
  <si>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</si>
  <si>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</si>
  <si>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</si>
  <si>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</si>
  <si>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</si>
  <si>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</si>
  <si>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</si>
  <si>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</si>
  <si>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</si>
  <si>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</si>
  <si>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</si>
  <si>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</si>
  <si>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</si>
  <si>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</si>
  <si>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</si>
  <si>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</si>
  <si>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</si>
  <si>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</si>
  <si>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</si>
  <si>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</si>
  <si>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</si>
  <si>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</si>
  <si>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</si>
  <si>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</si>
  <si>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</si>
  <si>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</si>
  <si>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</si>
  <si>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</si>
  <si>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</si>
  <si>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</si>
  <si>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</si>
  <si>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</si>
  <si>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</si>
  <si>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</si>
  <si>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</si>
  <si>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</si>
  <si>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</si>
  <si>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</si>
  <si>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</si>
  <si>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</si>
  <si>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</si>
  <si>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</si>
  <si>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</si>
  <si>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</si>
  <si>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</si>
  <si>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</si>
  <si>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</si>
  <si>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</si>
  <si>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</si>
  <si>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</si>
  <si>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</si>
  <si>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</si>
  <si>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</si>
  <si>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</si>
  <si>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</si>
  <si>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</si>
  <si>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</si>
  <si>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</si>
  <si>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</si>
  <si>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</si>
  <si>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</si>
  <si>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</si>
  <si>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</si>
  <si>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</si>
  <si>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</si>
  <si>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</si>
  <si>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</si>
  <si>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</si>
  <si>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</si>
  <si>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</si>
  <si>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</si>
  <si>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</si>
  <si>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</si>
  <si>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</si>
  <si>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</si>
  <si>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</si>
  <si>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</si>
  <si>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</si>
  <si>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</si>
  <si>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</si>
  <si>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</si>
  <si>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</si>
  <si>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</si>
  <si>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</si>
  <si>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</si>
  <si>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</si>
  <si>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</si>
  <si>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</si>
  <si>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</si>
  <si>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</si>
  <si>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</si>
  <si>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</si>
  <si>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</si>
  <si>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</si>
  <si>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</si>
  <si>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</si>
  <si>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</si>
  <si>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</si>
  <si>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</si>
  <si>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</si>
  <si>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</si>
  <si>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</si>
  <si>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</si>
  <si>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</si>
  <si>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</si>
  <si>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</si>
  <si>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</si>
  <si>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</si>
  <si>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</si>
  <si>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</si>
  <si>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</si>
  <si>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</si>
  <si>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</si>
  <si>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</si>
  <si>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</si>
  <si>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</si>
  <si>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</si>
  <si>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</si>
  <si>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</si>
  <si>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</si>
  <si>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</si>
  <si>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</si>
  <si>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</si>
  <si>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</si>
  <si>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</si>
  <si>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</si>
  <si>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</si>
  <si>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</si>
  <si>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</si>
  <si>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</si>
  <si>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</si>
  <si>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</si>
  <si>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</si>
  <si>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</si>
  <si>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</si>
  <si>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</si>
  <si>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</si>
  <si>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</si>
  <si>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</si>
  <si>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</si>
  <si>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</si>
  <si>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</si>
  <si>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</si>
  <si>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</si>
  <si>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</si>
  <si>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</si>
  <si>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</si>
  <si>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</si>
  <si>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</si>
  <si>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</si>
  <si>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</si>
  <si>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</si>
  <si>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</si>
  <si>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</si>
  <si>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</si>
  <si>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</si>
  <si>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</si>
  <si>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</si>
  <si>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</si>
  <si>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</si>
  <si>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</si>
  <si>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</si>
  <si>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</si>
  <si>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</si>
  <si>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</si>
  <si>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</si>
  <si>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</si>
  <si>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</si>
  <si>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</si>
  <si>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</si>
  <si>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</si>
  <si>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</si>
  <si>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</si>
  <si>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</si>
  <si>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</si>
  <si>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</si>
  <si>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</si>
  <si>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</si>
  <si>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</si>
  <si>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</si>
  <si>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</si>
  <si>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</si>
  <si>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</si>
  <si>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</si>
  <si>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</si>
  <si>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</si>
  <si>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</si>
  <si>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</si>
  <si>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</si>
  <si>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</si>
  <si>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</si>
  <si>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</si>
  <si>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</si>
  <si>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</si>
  <si>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</si>
  <si>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</si>
  <si>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</si>
  <si>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</si>
  <si>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</si>
  <si>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</si>
  <si>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</si>
  <si>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</si>
  <si>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</si>
  <si>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</si>
  <si>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</si>
  <si>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</si>
  <si>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</si>
  <si>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</si>
  <si>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</si>
  <si>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</si>
  <si>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</si>
  <si>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</si>
  <si>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</si>
  <si>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</si>
  <si>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</si>
  <si>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</si>
  <si>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</si>
  <si>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</si>
  <si>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</si>
  <si>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</si>
  <si>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</si>
  <si>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</si>
  <si>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</si>
  <si>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</si>
  <si>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</si>
  <si>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</si>
  <si>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</si>
  <si>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</si>
  <si>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</si>
  <si>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</si>
  <si>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</si>
  <si>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</si>
  <si>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</si>
  <si>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</si>
  <si>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</si>
  <si>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</si>
  <si>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</si>
  <si>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</si>
  <si>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</si>
  <si>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</si>
  <si>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</si>
  <si>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</si>
  <si>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</si>
  <si>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</si>
  <si>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</si>
  <si>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</si>
  <si>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</si>
  <si>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</si>
  <si>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</si>
  <si>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</si>
  <si>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</si>
  <si>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</si>
  <si>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</si>
  <si>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</si>
  <si>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</si>
  <si>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</si>
  <si>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</si>
  <si>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</si>
  <si>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</si>
  <si>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</si>
  <si>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</si>
  <si>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</si>
  <si>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</si>
  <si>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</si>
  <si>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</si>
  <si>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</si>
  <si>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</si>
  <si>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</si>
  <si>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</si>
  <si>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</si>
  <si>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</si>
  <si>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</si>
  <si>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</si>
  <si>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</si>
  <si>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</si>
  <si>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</si>
  <si>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</si>
  <si>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</si>
  <si>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</si>
  <si>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</si>
  <si>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</si>
  <si>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</si>
  <si>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</si>
  <si>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</si>
  <si>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</si>
  <si>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</si>
  <si>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</si>
  <si>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</si>
  <si>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</si>
  <si>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</si>
  <si>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</si>
  <si>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</si>
  <si>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</si>
  <si>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</si>
  <si>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</si>
  <si>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</si>
  <si>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</si>
  <si>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</si>
  <si>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</si>
  <si>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</si>
  <si>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</si>
  <si>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</si>
  <si>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</si>
  <si>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</si>
  <si>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</si>
  <si>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</si>
  <si>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</si>
  <si>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</si>
  <si>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</si>
  <si>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</si>
  <si>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</si>
  <si>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</si>
  <si>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</si>
  <si>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</si>
  <si>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</si>
  <si>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</si>
  <si>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</si>
  <si>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</si>
  <si>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</si>
  <si>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</si>
  <si>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</si>
  <si>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</si>
  <si>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</si>
  <si>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</si>
  <si>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</si>
  <si>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</si>
  <si>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</si>
  <si>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</si>
  <si>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</si>
  <si>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</si>
  <si>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</si>
  <si>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</si>
  <si>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</si>
  <si>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</si>
  <si>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</si>
  <si>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</si>
  <si>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</si>
  <si>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</si>
  <si>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</si>
  <si>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</si>
  <si>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</si>
  <si>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</si>
  <si>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</si>
  <si>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</si>
  <si>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</si>
  <si>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</si>
  <si>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</si>
  <si>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</si>
  <si>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</si>
  <si>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</si>
  <si>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</si>
  <si>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</si>
  <si>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</si>
  <si>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</si>
  <si>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</si>
  <si>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</si>
  <si>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</si>
  <si>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</si>
  <si>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</si>
  <si>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</si>
  <si>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</si>
  <si>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</si>
  <si>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</si>
  <si>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</si>
  <si>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</si>
  <si>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</si>
  <si>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</si>
  <si>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</si>
  <si>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</si>
  <si>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</si>
  <si>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</si>
  <si>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</si>
  <si>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</si>
  <si>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</si>
  <si>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</si>
  <si>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</si>
  <si>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</si>
  <si>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</si>
  <si>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</si>
  <si>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</si>
  <si>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</si>
  <si>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</si>
  <si>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</si>
  <si>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</si>
  <si>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</si>
  <si>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</si>
  <si>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</si>
  <si>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</si>
  <si>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</si>
  <si>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</si>
  <si>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</si>
  <si>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</si>
  <si>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</si>
  <si>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</si>
  <si>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</si>
  <si>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</si>
  <si>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</si>
  <si>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</si>
  <si>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</si>
  <si>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</si>
  <si>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</si>
  <si>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</si>
  <si>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</si>
  <si>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</si>
  <si>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</si>
  <si>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</si>
  <si>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</si>
  <si>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</si>
  <si>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</si>
  <si>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</si>
  <si>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</si>
  <si>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</si>
  <si>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</si>
  <si>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</si>
  <si>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</si>
  <si>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</si>
  <si>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</si>
  <si>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</si>
  <si>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</si>
  <si>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</si>
  <si>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</si>
  <si>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</si>
  <si>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</si>
  <si>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</si>
  <si>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</si>
  <si>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</si>
  <si>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</si>
  <si>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</si>
  <si>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</si>
  <si>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</si>
  <si>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</si>
  <si>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</si>
  <si>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</si>
  <si>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</si>
  <si>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</si>
  <si>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</si>
  <si>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</si>
  <si>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</si>
  <si>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</si>
  <si>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</si>
  <si>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</si>
  <si>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</si>
  <si>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</si>
  <si>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</si>
  <si>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</si>
  <si>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</si>
  <si>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</si>
  <si>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</si>
  <si>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</si>
  <si>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</si>
  <si>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</si>
  <si>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</si>
  <si>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</si>
  <si>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</si>
  <si>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</si>
  <si>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</si>
  <si>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</si>
  <si>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</si>
  <si>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</si>
  <si>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</si>
  <si>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</si>
  <si>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</si>
  <si>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</si>
  <si>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</si>
  <si>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</si>
  <si>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</si>
  <si>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</si>
  <si>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</si>
  <si>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</si>
  <si>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</si>
  <si>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</si>
  <si>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</si>
  <si>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</si>
  <si>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</si>
  <si>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</si>
  <si>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</si>
  <si>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</si>
  <si>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</si>
  <si>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</si>
  <si>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</si>
  <si>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</si>
  <si>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</si>
  <si>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</si>
  <si>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</si>
  <si>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</si>
  <si>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</si>
  <si>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</si>
  <si>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</si>
  <si>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</si>
  <si>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</si>
  <si>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</si>
  <si>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</si>
  <si>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</si>
  <si>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</si>
  <si>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</si>
  <si>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</si>
  <si>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</si>
  <si>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</si>
  <si>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</si>
  <si>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</si>
  <si>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</si>
  <si>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</si>
  <si>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</si>
  <si>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</si>
  <si>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</si>
  <si>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</si>
  <si>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</si>
  <si>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</si>
  <si>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</si>
  <si>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</si>
  <si>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</si>
  <si>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</si>
  <si>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</si>
  <si>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</si>
  <si>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</si>
  <si>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</si>
  <si>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</si>
  <si>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</si>
  <si>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</si>
  <si>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</si>
  <si>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</si>
  <si>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</si>
  <si>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</si>
  <si>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</si>
  <si>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</si>
  <si>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</si>
  <si>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</si>
  <si>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</si>
  <si>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</si>
  <si>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</si>
  <si>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</si>
  <si>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</si>
  <si>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</si>
  <si>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</si>
  <si>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</si>
  <si>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</si>
  <si>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</si>
  <si>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</si>
  <si>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</si>
  <si>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</si>
  <si>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</si>
  <si>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</si>
  <si>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44029</t>
  </si>
  <si>
    <t>KNESSELARE</t>
  </si>
  <si>
    <t>Paarden&amp;pony's 200 - 600 kg</t>
  </si>
  <si>
    <t>Paarden&amp;pony's &lt; 200 kg</t>
  </si>
  <si>
    <t>referentietaak LNE (2017); Jaarverslag De Lijn (2014)</t>
  </si>
  <si>
    <t>op basis van VEA (maart 2018) en Inventaris Hernieuwbare Energiebronnen (juni 2018)</t>
  </si>
  <si>
    <t>VEA (maart 2016)</t>
  </si>
  <si>
    <t>VEA (juni 2018)</t>
  </si>
  <si>
    <t>Jan Clement</t>
  </si>
  <si>
    <t>Langedonkstraat 17 , 9910 Knesselare</t>
  </si>
  <si>
    <t>WKK-0463 Jan Clement</t>
  </si>
  <si>
    <t>interne verbrandingsmotor</t>
  </si>
  <si>
    <t>WKK interne verbrandinsgmotor (gas)</t>
  </si>
  <si>
    <t>IMEWO</t>
  </si>
  <si>
    <t>DB Fourage bvba</t>
  </si>
  <si>
    <t>Geuzestraat 48 , 9910 Knesselare</t>
  </si>
  <si>
    <t>WKK-0565 DB Fourage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</si>
</sst>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75962.01497743871</c:v>
                </c:pt>
                <c:pt idx="1">
                  <c:v>19031.229916006829</c:v>
                </c:pt>
                <c:pt idx="2">
                  <c:v>615.51800000000003</c:v>
                </c:pt>
                <c:pt idx="3">
                  <c:v>11350.688191017034</c:v>
                </c:pt>
                <c:pt idx="4">
                  <c:v>19322.603802833193</c:v>
                </c:pt>
                <c:pt idx="5">
                  <c:v>53675.06162583371</c:v>
                </c:pt>
                <c:pt idx="6">
                  <c:v>546.00398232046666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284843392"/>
        <c:axId val="179143808"/>
      </c:barChart>
      <c:catAx>
        <c:axId val="284843392"/>
        <c:scaling>
          <c:orientation val="minMax"/>
        </c:scaling>
        <c:axPos val="b"/>
        <c:numFmt formatCode="General" sourceLinked="0"/>
        <c:tickLblPos val="nextTo"/>
        <c:crossAx val="179143808"/>
        <c:crosses val="autoZero"/>
        <c:auto val="1"/>
        <c:lblAlgn val="ctr"/>
        <c:lblOffset val="100"/>
      </c:catAx>
      <c:valAx>
        <c:axId val="179143808"/>
        <c:scaling>
          <c:orientation val="minMax"/>
        </c:scaling>
        <c:axPos val="l"/>
        <c:majorGridlines/>
        <c:numFmt formatCode="#,##0" sourceLinked="1"/>
        <c:tickLblPos val="nextTo"/>
        <c:crossAx val="2848433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75962.01497743871</c:v>
                </c:pt>
                <c:pt idx="1">
                  <c:v>19031.229916006829</c:v>
                </c:pt>
                <c:pt idx="2">
                  <c:v>615.51800000000003</c:v>
                </c:pt>
                <c:pt idx="3">
                  <c:v>11350.688191017034</c:v>
                </c:pt>
                <c:pt idx="4">
                  <c:v>19322.603802833193</c:v>
                </c:pt>
                <c:pt idx="5">
                  <c:v>53675.06162583371</c:v>
                </c:pt>
                <c:pt idx="6">
                  <c:v>546.00398232046666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14851.194483519121</c:v>
                </c:pt>
                <c:pt idx="1">
                  <c:v>3811.3787811924121</c:v>
                </c:pt>
                <c:pt idx="2">
                  <c:v>129.09591939012935</c:v>
                </c:pt>
                <c:pt idx="3">
                  <c:v>2815.7033076238517</c:v>
                </c:pt>
                <c:pt idx="4">
                  <c:v>3649.1007682490526</c:v>
                </c:pt>
                <c:pt idx="5">
                  <c:v>13452.15090829817</c:v>
                </c:pt>
                <c:pt idx="6">
                  <c:v>137.91800169556052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300032"/>
        <c:axId val="180396032"/>
      </c:barChart>
      <c:catAx>
        <c:axId val="180300032"/>
        <c:scaling>
          <c:orientation val="minMax"/>
        </c:scaling>
        <c:axPos val="b"/>
        <c:numFmt formatCode="General" sourceLinked="0"/>
        <c:tickLblPos val="nextTo"/>
        <c:crossAx val="180396032"/>
        <c:crosses val="autoZero"/>
        <c:auto val="1"/>
        <c:lblAlgn val="ctr"/>
        <c:lblOffset val="100"/>
      </c:catAx>
      <c:valAx>
        <c:axId val="180396032"/>
        <c:scaling>
          <c:orientation val="minMax"/>
        </c:scaling>
        <c:axPos val="l"/>
        <c:majorGridlines/>
        <c:numFmt formatCode="#,##0" sourceLinked="1"/>
        <c:tickLblPos val="nextTo"/>
        <c:crossAx val="180300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14851.194483519121</c:v>
                </c:pt>
                <c:pt idx="1">
                  <c:v>3811.3787811924121</c:v>
                </c:pt>
                <c:pt idx="2">
                  <c:v>129.09591939012935</c:v>
                </c:pt>
                <c:pt idx="3">
                  <c:v>2815.7033076238517</c:v>
                </c:pt>
                <c:pt idx="4">
                  <c:v>3649.1007682490526</c:v>
                </c:pt>
                <c:pt idx="5">
                  <c:v>13452.15090829817</c:v>
                </c:pt>
                <c:pt idx="6">
                  <c:v>137.91800169556052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44029</v>
      </c>
      <c r="B6" s="416"/>
      <c r="C6" s="417"/>
    </row>
    <row r="7" spans="1:7" s="414" customFormat="1" ht="15.75" customHeight="1">
      <c r="A7" s="418" t="str">
        <f>txtMunicipality</f>
        <v>KNESSELARE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44029</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3445</v>
      </c>
      <c r="C9" s="342">
        <v>3610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2347</v>
      </c>
    </row>
    <row r="15" spans="1:6">
      <c r="A15" s="348" t="s">
        <v>184</v>
      </c>
      <c r="B15" s="334">
        <v>549</v>
      </c>
    </row>
    <row r="16" spans="1:6">
      <c r="A16" s="348" t="s">
        <v>6</v>
      </c>
      <c r="B16" s="334">
        <v>1154</v>
      </c>
    </row>
    <row r="17" spans="1:6">
      <c r="A17" s="348" t="s">
        <v>7</v>
      </c>
      <c r="B17" s="334">
        <v>575</v>
      </c>
    </row>
    <row r="18" spans="1:6">
      <c r="A18" s="348" t="s">
        <v>8</v>
      </c>
      <c r="B18" s="334">
        <v>1261</v>
      </c>
    </row>
    <row r="19" spans="1:6">
      <c r="A19" s="348" t="s">
        <v>9</v>
      </c>
      <c r="B19" s="334">
        <v>1326</v>
      </c>
    </row>
    <row r="20" spans="1:6">
      <c r="A20" s="348" t="s">
        <v>10</v>
      </c>
      <c r="B20" s="334">
        <v>924</v>
      </c>
    </row>
    <row r="21" spans="1:6">
      <c r="A21" s="348" t="s">
        <v>11</v>
      </c>
      <c r="B21" s="334">
        <v>11043</v>
      </c>
    </row>
    <row r="22" spans="1:6">
      <c r="A22" s="348" t="s">
        <v>12</v>
      </c>
      <c r="B22" s="334">
        <v>28073</v>
      </c>
    </row>
    <row r="23" spans="1:6">
      <c r="A23" s="348" t="s">
        <v>13</v>
      </c>
      <c r="B23" s="334">
        <v>486</v>
      </c>
    </row>
    <row r="24" spans="1:6">
      <c r="A24" s="348" t="s">
        <v>14</v>
      </c>
      <c r="B24" s="334">
        <v>14</v>
      </c>
    </row>
    <row r="25" spans="1:6">
      <c r="A25" s="348" t="s">
        <v>15</v>
      </c>
      <c r="B25" s="334">
        <v>2534</v>
      </c>
    </row>
    <row r="26" spans="1:6">
      <c r="A26" s="348" t="s">
        <v>16</v>
      </c>
      <c r="B26" s="334">
        <v>210</v>
      </c>
    </row>
    <row r="27" spans="1:6">
      <c r="A27" s="348" t="s">
        <v>17</v>
      </c>
      <c r="B27" s="334">
        <v>0</v>
      </c>
    </row>
    <row r="28" spans="1:6" s="356" customFormat="1">
      <c r="A28" s="355" t="s">
        <v>18</v>
      </c>
      <c r="B28" s="355">
        <v>78724</v>
      </c>
    </row>
    <row r="29" spans="1:6">
      <c r="A29" s="355" t="s">
        <v>865</v>
      </c>
      <c r="B29" s="355">
        <v>178</v>
      </c>
      <c r="C29" s="356"/>
      <c r="D29" s="356"/>
      <c r="E29" s="356"/>
      <c r="F29" s="356"/>
    </row>
    <row r="30" spans="1:6">
      <c r="A30" s="341" t="s">
        <v>866</v>
      </c>
      <c r="B30" s="341">
        <v>79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1350</v>
      </c>
      <c r="D39" s="334">
        <v>19359724.904881701</v>
      </c>
      <c r="E39" s="334">
        <v>3233</v>
      </c>
      <c r="F39" s="334">
        <v>16616938</v>
      </c>
    </row>
    <row r="40" spans="1:6">
      <c r="A40" s="348" t="s">
        <v>30</v>
      </c>
      <c r="B40" s="348" t="s">
        <v>29</v>
      </c>
      <c r="C40" s="334">
        <v>0</v>
      </c>
      <c r="D40" s="334">
        <v>0</v>
      </c>
      <c r="E40" s="334">
        <v>0</v>
      </c>
      <c r="F40" s="334">
        <v>0</v>
      </c>
    </row>
    <row r="41" spans="1:6">
      <c r="A41" s="348" t="s">
        <v>32</v>
      </c>
      <c r="B41" s="348" t="s">
        <v>33</v>
      </c>
      <c r="C41" s="334">
        <v>30</v>
      </c>
      <c r="D41" s="334">
        <v>580194.44273567805</v>
      </c>
      <c r="E41" s="334">
        <v>111</v>
      </c>
      <c r="F41" s="334">
        <v>1118122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15</v>
      </c>
      <c r="F44" s="334">
        <v>177737.8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4214414</v>
      </c>
    </row>
    <row r="48" spans="1:6">
      <c r="A48" s="348" t="s">
        <v>32</v>
      </c>
      <c r="B48" s="348" t="s">
        <v>29</v>
      </c>
      <c r="C48" s="334">
        <v>22</v>
      </c>
      <c r="D48" s="334">
        <v>576688.88245546701</v>
      </c>
      <c r="E48" s="334">
        <v>24</v>
      </c>
      <c r="F48" s="334">
        <v>397129.6</v>
      </c>
    </row>
    <row r="49" spans="1:6">
      <c r="A49" s="348" t="s">
        <v>32</v>
      </c>
      <c r="B49" s="348" t="s">
        <v>40</v>
      </c>
      <c r="C49" s="334">
        <v>0</v>
      </c>
      <c r="D49" s="334">
        <v>0</v>
      </c>
      <c r="E49" s="334">
        <v>0</v>
      </c>
      <c r="F49" s="334">
        <v>0</v>
      </c>
    </row>
    <row r="50" spans="1:6">
      <c r="A50" s="348" t="s">
        <v>32</v>
      </c>
      <c r="B50" s="348" t="s">
        <v>41</v>
      </c>
      <c r="C50" s="334">
        <v>3</v>
      </c>
      <c r="D50" s="334">
        <v>358876.84558430099</v>
      </c>
      <c r="E50" s="334">
        <v>9</v>
      </c>
      <c r="F50" s="334">
        <v>2427036</v>
      </c>
    </row>
    <row r="51" spans="1:6">
      <c r="A51" s="348" t="s">
        <v>42</v>
      </c>
      <c r="B51" s="348" t="s">
        <v>43</v>
      </c>
      <c r="C51" s="334">
        <v>0</v>
      </c>
      <c r="D51" s="334">
        <v>0</v>
      </c>
      <c r="E51" s="334">
        <v>111</v>
      </c>
      <c r="F51" s="334">
        <v>2059884</v>
      </c>
    </row>
    <row r="52" spans="1:6">
      <c r="A52" s="348" t="s">
        <v>42</v>
      </c>
      <c r="B52" s="348" t="s">
        <v>29</v>
      </c>
      <c r="C52" s="334">
        <v>2</v>
      </c>
      <c r="D52" s="334">
        <v>13691.6948915422</v>
      </c>
      <c r="E52" s="334">
        <v>1</v>
      </c>
      <c r="F52" s="334">
        <v>9488</v>
      </c>
    </row>
    <row r="53" spans="1:6">
      <c r="A53" s="348" t="s">
        <v>44</v>
      </c>
      <c r="B53" s="348" t="s">
        <v>45</v>
      </c>
      <c r="C53" s="334">
        <v>51</v>
      </c>
      <c r="D53" s="334">
        <v>739270.92465190496</v>
      </c>
      <c r="E53" s="334">
        <v>135</v>
      </c>
      <c r="F53" s="334">
        <v>636401.19999999995</v>
      </c>
    </row>
    <row r="54" spans="1:6">
      <c r="A54" s="348" t="s">
        <v>46</v>
      </c>
      <c r="B54" s="348" t="s">
        <v>47</v>
      </c>
      <c r="C54" s="334">
        <v>0</v>
      </c>
      <c r="D54" s="334">
        <v>0</v>
      </c>
      <c r="E54" s="334">
        <v>2</v>
      </c>
      <c r="F54" s="334">
        <v>615518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22</v>
      </c>
      <c r="D57" s="334">
        <v>1133639.32480568</v>
      </c>
      <c r="E57" s="334">
        <v>64</v>
      </c>
      <c r="F57" s="334">
        <v>821767.2</v>
      </c>
    </row>
    <row r="58" spans="1:6">
      <c r="A58" s="348" t="s">
        <v>49</v>
      </c>
      <c r="B58" s="348" t="s">
        <v>51</v>
      </c>
      <c r="C58" s="334">
        <v>3</v>
      </c>
      <c r="D58" s="334">
        <v>49793.154230680397</v>
      </c>
      <c r="E58" s="334">
        <v>17</v>
      </c>
      <c r="F58" s="334">
        <v>380024.2</v>
      </c>
    </row>
    <row r="59" spans="1:6">
      <c r="A59" s="348" t="s">
        <v>49</v>
      </c>
      <c r="B59" s="348" t="s">
        <v>52</v>
      </c>
      <c r="C59" s="334">
        <v>13</v>
      </c>
      <c r="D59" s="334">
        <v>455785.76938664401</v>
      </c>
      <c r="E59" s="334">
        <v>78</v>
      </c>
      <c r="F59" s="334">
        <v>2552619</v>
      </c>
    </row>
    <row r="60" spans="1:6">
      <c r="A60" s="348" t="s">
        <v>49</v>
      </c>
      <c r="B60" s="348" t="s">
        <v>53</v>
      </c>
      <c r="C60" s="334">
        <v>17</v>
      </c>
      <c r="D60" s="334">
        <v>661846.15842215996</v>
      </c>
      <c r="E60" s="334">
        <v>32</v>
      </c>
      <c r="F60" s="334">
        <v>673527.3</v>
      </c>
    </row>
    <row r="61" spans="1:6">
      <c r="A61" s="348" t="s">
        <v>49</v>
      </c>
      <c r="B61" s="348" t="s">
        <v>54</v>
      </c>
      <c r="C61" s="334">
        <v>21</v>
      </c>
      <c r="D61" s="334">
        <v>496337.33036906098</v>
      </c>
      <c r="E61" s="334">
        <v>86</v>
      </c>
      <c r="F61" s="334">
        <v>834779.5</v>
      </c>
    </row>
    <row r="62" spans="1:6">
      <c r="A62" s="348" t="s">
        <v>49</v>
      </c>
      <c r="B62" s="348" t="s">
        <v>55</v>
      </c>
      <c r="C62" s="334">
        <v>0</v>
      </c>
      <c r="D62" s="334">
        <v>0</v>
      </c>
      <c r="E62" s="334">
        <v>3</v>
      </c>
      <c r="F62" s="334">
        <v>20875.03</v>
      </c>
    </row>
    <row r="63" spans="1:6">
      <c r="A63" s="348" t="s">
        <v>49</v>
      </c>
      <c r="B63" s="348" t="s">
        <v>29</v>
      </c>
      <c r="C63" s="334">
        <v>53</v>
      </c>
      <c r="D63" s="334">
        <v>9495631.2354668695</v>
      </c>
      <c r="E63" s="334">
        <v>78</v>
      </c>
      <c r="F63" s="334">
        <v>934042.7</v>
      </c>
    </row>
    <row r="64" spans="1:6">
      <c r="A64" s="348" t="s">
        <v>56</v>
      </c>
      <c r="B64" s="348" t="s">
        <v>57</v>
      </c>
      <c r="C64" s="334">
        <v>0</v>
      </c>
      <c r="D64" s="334">
        <v>0</v>
      </c>
      <c r="E64" s="334">
        <v>0</v>
      </c>
      <c r="F64" s="334">
        <v>0</v>
      </c>
    </row>
    <row r="65" spans="1:6">
      <c r="A65" s="348" t="s">
        <v>56</v>
      </c>
      <c r="B65" s="348" t="s">
        <v>29</v>
      </c>
      <c r="C65" s="334">
        <v>1</v>
      </c>
      <c r="D65" s="334">
        <v>14601.1577147061</v>
      </c>
      <c r="E65" s="334">
        <v>0</v>
      </c>
      <c r="F65" s="334">
        <v>0</v>
      </c>
    </row>
    <row r="66" spans="1:6">
      <c r="A66" s="348" t="s">
        <v>56</v>
      </c>
      <c r="B66" s="348" t="s">
        <v>58</v>
      </c>
      <c r="C66" s="334">
        <v>0</v>
      </c>
      <c r="D66" s="334">
        <v>0</v>
      </c>
      <c r="E66" s="334">
        <v>5</v>
      </c>
      <c r="F66" s="334">
        <v>142213</v>
      </c>
    </row>
    <row r="67" spans="1:6">
      <c r="A67" s="355" t="s">
        <v>56</v>
      </c>
      <c r="B67" s="355" t="s">
        <v>59</v>
      </c>
      <c r="C67" s="334">
        <v>0</v>
      </c>
      <c r="D67" s="334">
        <v>0</v>
      </c>
      <c r="E67" s="334">
        <v>0</v>
      </c>
      <c r="F67" s="334">
        <v>0</v>
      </c>
    </row>
    <row r="68" spans="1:6">
      <c r="A68" s="341" t="s">
        <v>56</v>
      </c>
      <c r="B68" s="341" t="s">
        <v>60</v>
      </c>
      <c r="C68" s="334">
        <v>0</v>
      </c>
      <c r="D68" s="334">
        <v>0</v>
      </c>
      <c r="E68" s="334">
        <v>4</v>
      </c>
      <c r="F68" s="334">
        <v>93275.41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58516020</v>
      </c>
      <c r="E73" s="477">
        <v>61339208.638665646</v>
      </c>
    </row>
    <row r="74" spans="1:6">
      <c r="A74" s="348" t="s">
        <v>64</v>
      </c>
      <c r="B74" s="348" t="s">
        <v>714</v>
      </c>
      <c r="C74" s="1288" t="s">
        <v>716</v>
      </c>
      <c r="D74" s="477">
        <v>5466769.3501629727</v>
      </c>
      <c r="E74" s="477">
        <v>5647948.9240294313</v>
      </c>
    </row>
    <row r="75" spans="1:6">
      <c r="A75" s="348" t="s">
        <v>65</v>
      </c>
      <c r="B75" s="348" t="s">
        <v>713</v>
      </c>
      <c r="C75" s="1288" t="s">
        <v>717</v>
      </c>
      <c r="D75" s="477">
        <v>4948371</v>
      </c>
      <c r="E75" s="477">
        <v>5186372.1883184006</v>
      </c>
    </row>
    <row r="76" spans="1:6">
      <c r="A76" s="348" t="s">
        <v>65</v>
      </c>
      <c r="B76" s="348" t="s">
        <v>714</v>
      </c>
      <c r="C76" s="1288" t="s">
        <v>718</v>
      </c>
      <c r="D76" s="477">
        <v>57446.350162973016</v>
      </c>
      <c r="E76" s="477">
        <v>60738.466434008631</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145905.29967405397</v>
      </c>
      <c r="C83" s="477">
        <v>148037.81772619512</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1615.60808545437</v>
      </c>
    </row>
    <row r="92" spans="1:6">
      <c r="A92" s="341" t="s">
        <v>69</v>
      </c>
      <c r="B92" s="342">
        <v>340.61820176960208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574</v>
      </c>
    </row>
    <row r="98" spans="1:6">
      <c r="A98" s="348" t="s">
        <v>72</v>
      </c>
      <c r="B98" s="334">
        <v>0</v>
      </c>
    </row>
    <row r="99" spans="1:6">
      <c r="A99" s="348" t="s">
        <v>73</v>
      </c>
      <c r="B99" s="334">
        <v>84</v>
      </c>
    </row>
    <row r="100" spans="1:6">
      <c r="A100" s="348" t="s">
        <v>74</v>
      </c>
      <c r="B100" s="334">
        <v>427</v>
      </c>
    </row>
    <row r="101" spans="1:6">
      <c r="A101" s="348" t="s">
        <v>75</v>
      </c>
      <c r="B101" s="334">
        <v>129</v>
      </c>
    </row>
    <row r="102" spans="1:6">
      <c r="A102" s="348" t="s">
        <v>76</v>
      </c>
      <c r="B102" s="334">
        <v>100</v>
      </c>
    </row>
    <row r="103" spans="1:6">
      <c r="A103" s="348" t="s">
        <v>77</v>
      </c>
      <c r="B103" s="334">
        <v>166</v>
      </c>
    </row>
    <row r="104" spans="1:6">
      <c r="A104" s="348" t="s">
        <v>78</v>
      </c>
      <c r="B104" s="334">
        <v>1598</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1</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87</v>
      </c>
    </row>
    <row r="130" spans="1:6">
      <c r="A130" s="348" t="s">
        <v>295</v>
      </c>
      <c r="B130" s="334">
        <v>2</v>
      </c>
    </row>
    <row r="131" spans="1:6">
      <c r="A131" s="348" t="s">
        <v>296</v>
      </c>
      <c r="B131" s="334">
        <v>1</v>
      </c>
    </row>
    <row r="132" spans="1:6">
      <c r="A132" s="341" t="s">
        <v>297</v>
      </c>
      <c r="B132" s="342">
        <v>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35478.208433705091</v>
      </c>
      <c r="C3" s="43" t="s">
        <v>170</v>
      </c>
      <c r="D3" s="43"/>
      <c r="E3" s="154"/>
      <c r="F3" s="43"/>
      <c r="G3" s="43"/>
      <c r="H3" s="43"/>
      <c r="I3" s="43"/>
      <c r="J3" s="43"/>
      <c r="K3" s="96"/>
    </row>
    <row r="4" spans="1:11">
      <c r="A4" s="384" t="s">
        <v>171</v>
      </c>
      <c r="B4" s="49">
        <f>IF(ISERROR('SEAP template'!B69),0,'SEAP template'!B69)</f>
        <v>4542.3762872239713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604.21764705882356</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0.20973540885908998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863.16806722689068</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3694.4999999999991</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0.23363596352060925</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615.51800000000003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615.51800000000003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0.20973540885908998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129.09591939012935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16616.937999999998</v>
      </c>
      <c r="C5" s="17">
        <f>IF(ISERROR('Eigen informatie GS &amp; warmtenet'!B57),0,'Eigen informatie GS &amp; warmtenet'!B57)</f>
        <v>0</v>
      </c>
      <c r="D5" s="30">
        <f>(SUM(HH_hh_gas_kWh,HH_rest_gas_kWh)/1000)*0.902</f>
        <v>17462.471864203293</v>
      </c>
      <c r="E5" s="17">
        <f>B46*B57</f>
        <v>2142.3966415190525</v>
      </c>
      <c r="F5" s="17">
        <f>B51*B62</f>
        <v>22144.990760803499</v>
      </c>
      <c r="G5" s="18"/>
      <c r="H5" s="17"/>
      <c r="I5" s="17"/>
      <c r="J5" s="17">
        <f>B50*B61+C50*C61</f>
        <v>3109.4013797054386</v>
      </c>
      <c r="K5" s="17"/>
      <c r="L5" s="17"/>
      <c r="M5" s="17"/>
      <c r="N5" s="17">
        <f>B48*B59+C48*C59</f>
        <v>12476.951579086399</v>
      </c>
      <c r="O5" s="17">
        <f>B69*B70*B71</f>
        <v>145.39000000000001</v>
      </c>
      <c r="P5" s="17">
        <f>B77*B78*B79/1000-B77*B78*B79/1000/B80</f>
        <v>247.86666666666667</v>
      </c>
    </row>
    <row r="6" spans="1:16">
      <c r="A6" s="16" t="s">
        <v>631</v>
      </c>
      <c r="B6" s="844">
        <f>kWh_PV_kleiner_dan_10kW</f>
        <v>1615.60808545437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18232.546085454367</v>
      </c>
      <c r="C8" s="21">
        <f>C5</f>
        <v>0</v>
      </c>
      <c r="D8" s="21">
        <f>D5</f>
        <v>17462.471864203293</v>
      </c>
      <c r="E8" s="21">
        <f>E5</f>
        <v>2142.3966415190525</v>
      </c>
      <c r="F8" s="21">
        <f>F5</f>
        <v>22144.990760803499</v>
      </c>
      <c r="G8" s="21"/>
      <c r="H8" s="21"/>
      <c r="I8" s="21"/>
      <c r="J8" s="21">
        <f>J5</f>
        <v>3109.4013797054386</v>
      </c>
      <c r="K8" s="21"/>
      <c r="L8" s="21">
        <f>L5</f>
        <v>0</v>
      </c>
      <c r="M8" s="21">
        <f>M5</f>
        <v>0</v>
      </c>
      <c r="N8" s="21">
        <f>N5</f>
        <v>12476.951579086399</v>
      </c>
      <c r="O8" s="21">
        <f>O5</f>
        <v>145.39000000000001</v>
      </c>
      <c r="P8" s="21">
        <f>P5</f>
        <v>247.86666666666667</v>
      </c>
    </row>
    <row r="9" spans="1:16">
      <c r="B9" s="19"/>
      <c r="C9" s="19"/>
      <c r="D9" s="258"/>
      <c r="E9" s="19"/>
      <c r="F9" s="19"/>
      <c r="G9" s="19"/>
      <c r="H9" s="19"/>
      <c r="I9" s="19"/>
      <c r="J9" s="19"/>
      <c r="K9" s="19"/>
      <c r="L9" s="19"/>
      <c r="M9" s="19"/>
      <c r="N9" s="19"/>
      <c r="O9" s="19"/>
      <c r="P9" s="19"/>
    </row>
    <row r="10" spans="1:16">
      <c r="A10" s="24" t="s">
        <v>214</v>
      </c>
      <c r="B10" s="25">
        <f ca="1">'EF ele_warmte'!B12</f>
        <v>0.20973540885908998</v>
      </c>
      <c r="C10" s="25">
        <f ca="1">'EF ele_warmte'!B22</f>
        <v>0.23363596352060925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3824.0105077749722</v>
      </c>
      <c r="C12" s="23">
        <f ca="1">C10*C8</f>
        <v>0</v>
      </c>
      <c r="D12" s="23">
        <f>D8*D10</f>
        <v>3527.4193165690654</v>
      </c>
      <c r="E12" s="23">
        <f>E10*E8</f>
        <v>486.32403762482494</v>
      </c>
      <c r="F12" s="23">
        <f>F10*F8</f>
        <v>5912.7125331345342</v>
      </c>
      <c r="G12" s="23"/>
      <c r="H12" s="23"/>
      <c r="I12" s="23"/>
      <c r="J12" s="23">
        <f>J10*J8</f>
        <v>1100.7280884157251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574</v>
      </c>
      <c r="C18" s="166" t="s">
        <v>111</v>
      </c>
      <c r="D18" s="228"/>
      <c r="E18" s="15"/>
    </row>
    <row r="19" spans="1:7">
      <c r="A19" s="171" t="s">
        <v>72</v>
      </c>
      <c r="B19" s="37">
        <f>aantalw2001_ander</f>
        <v>0</v>
      </c>
      <c r="C19" s="166" t="s">
        <v>111</v>
      </c>
      <c r="D19" s="229"/>
      <c r="E19" s="15"/>
    </row>
    <row r="20" spans="1:7">
      <c r="A20" s="171" t="s">
        <v>73</v>
      </c>
      <c r="B20" s="37">
        <f>aantalw2001_propaan</f>
        <v>84</v>
      </c>
      <c r="C20" s="167">
        <f>IF(ISERROR(B20/SUM($B$20,$B$21,$B$22)*100),0,B20/SUM($B$20,$B$21,$B$22)*100)</f>
        <v>13.125</v>
      </c>
      <c r="D20" s="229"/>
      <c r="E20" s="15"/>
    </row>
    <row r="21" spans="1:7">
      <c r="A21" s="171" t="s">
        <v>74</v>
      </c>
      <c r="B21" s="37">
        <f>aantalw2001_elektriciteit</f>
        <v>427</v>
      </c>
      <c r="C21" s="167">
        <f>IF(ISERROR(B21/SUM($B$20,$B$21,$B$22)*100),0,B21/SUM($B$20,$B$21,$B$22)*100)</f>
        <v>66.71875</v>
      </c>
      <c r="D21" s="229"/>
      <c r="E21" s="15"/>
    </row>
    <row r="22" spans="1:7">
      <c r="A22" s="171" t="s">
        <v>75</v>
      </c>
      <c r="B22" s="37">
        <f>aantalw2001_hout</f>
        <v>129</v>
      </c>
      <c r="C22" s="167">
        <f>IF(ISERROR(B22/SUM($B$20,$B$21,$B$22)*100),0,B22/SUM($B$20,$B$21,$B$22)*100)</f>
        <v>20.15625</v>
      </c>
      <c r="D22" s="229"/>
      <c r="E22" s="15"/>
    </row>
    <row r="23" spans="1:7">
      <c r="A23" s="171" t="s">
        <v>76</v>
      </c>
      <c r="B23" s="37">
        <f>aantalw2001_niet_gespec</f>
        <v>100</v>
      </c>
      <c r="C23" s="166" t="s">
        <v>111</v>
      </c>
      <c r="D23" s="228"/>
      <c r="E23" s="15"/>
    </row>
    <row r="24" spans="1:7">
      <c r="A24" s="171" t="s">
        <v>77</v>
      </c>
      <c r="B24" s="37">
        <f>aantalw2001_steenkool</f>
        <v>166</v>
      </c>
      <c r="C24" s="166" t="s">
        <v>111</v>
      </c>
      <c r="D24" s="229"/>
      <c r="E24" s="15"/>
    </row>
    <row r="25" spans="1:7">
      <c r="A25" s="171" t="s">
        <v>78</v>
      </c>
      <c r="B25" s="37">
        <f>aantalw2001_stookolie</f>
        <v>1598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3445</v>
      </c>
      <c r="C28" s="36"/>
      <c r="D28" s="228"/>
    </row>
    <row r="29" spans="1:7" s="15" customFormat="1">
      <c r="A29" s="230" t="s">
        <v>741</v>
      </c>
      <c r="B29" s="37">
        <f>SUM(HH_hh_gas_aantal,HH_rest_gas_aantal)</f>
        <v>1350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1350</v>
      </c>
      <c r="C32" s="167">
        <f>IF(ISERROR(B32/SUM($B$32,$B$34,$B$35,$B$36,$B$38,$B$39)*100),0,B32/SUM($B$32,$B$34,$B$35,$B$36,$B$38,$B$39)*100)</f>
        <v>39.335664335664333</v>
      </c>
      <c r="D32" s="233"/>
      <c r="G32" s="15"/>
    </row>
    <row r="33" spans="1:7">
      <c r="A33" s="171" t="s">
        <v>72</v>
      </c>
      <c r="B33" s="34" t="s">
        <v>111</v>
      </c>
      <c r="C33" s="167"/>
      <c r="D33" s="233"/>
      <c r="G33" s="15"/>
    </row>
    <row r="34" spans="1:7">
      <c r="A34" s="171" t="s">
        <v>73</v>
      </c>
      <c r="B34" s="33">
        <f>IF((($B$28-$B$32-$B$39-$B$77-$B$38)*C20/100)&lt;0,0,($B$28-$B$32-$B$39-$B$77-$B$38)*C20/100)</f>
        <v>143.58750000000001</v>
      </c>
      <c r="C34" s="167">
        <f>IF(ISERROR(B34/SUM($B$32,$B$34,$B$35,$B$36,$B$38,$B$39)*100),0,B34/SUM($B$32,$B$34,$B$35,$B$36,$B$38,$B$39)*100)</f>
        <v>4.183784965034965</v>
      </c>
      <c r="D34" s="233"/>
      <c r="G34" s="15"/>
    </row>
    <row r="35" spans="1:7">
      <c r="A35" s="171" t="s">
        <v>74</v>
      </c>
      <c r="B35" s="33">
        <f>IF((($B$28-$B$32-$B$39-$B$77-$B$38)*C21/100)&lt;0,0,($B$28-$B$32-$B$39-$B$77-$B$38)*C21/100)</f>
        <v>729.90312500000005</v>
      </c>
      <c r="C35" s="167">
        <f>IF(ISERROR(B35/SUM($B$32,$B$34,$B$35,$B$36,$B$38,$B$39)*100),0,B35/SUM($B$32,$B$34,$B$35,$B$36,$B$38,$B$39)*100)</f>
        <v>21.267573572261071</v>
      </c>
      <c r="D35" s="233"/>
      <c r="G35" s="15"/>
    </row>
    <row r="36" spans="1:7">
      <c r="A36" s="171" t="s">
        <v>75</v>
      </c>
      <c r="B36" s="33">
        <f>IF((($B$28-$B$32-$B$39-$B$77-$B$38)*C22/100)&lt;0,0,($B$28-$B$32-$B$39-$B$77-$B$38)*C22/100)</f>
        <v>220.50937500000001</v>
      </c>
      <c r="C36" s="167">
        <f>IF(ISERROR(B36/SUM($B$32,$B$34,$B$35,$B$36,$B$38,$B$39)*100),0,B36/SUM($B$32,$B$34,$B$35,$B$36,$B$38,$B$39)*100)</f>
        <v>6.4250983391608383</v>
      </c>
      <c r="D36" s="233"/>
      <c r="G36" s="15"/>
    </row>
    <row r="37" spans="1:7">
      <c r="A37" s="171" t="s">
        <v>76</v>
      </c>
      <c r="B37" s="34" t="s">
        <v>111</v>
      </c>
      <c r="C37" s="167"/>
      <c r="D37" s="173"/>
      <c r="G37" s="15"/>
    </row>
    <row r="38" spans="1:7">
      <c r="A38" s="171" t="s">
        <v>77</v>
      </c>
      <c r="B38" s="33">
        <f>IF((B24-(B29-B18)*0.1)&lt;0,0,B24-(B29-B18)*0.1)</f>
        <v>88.399999999999991</v>
      </c>
      <c r="C38" s="167">
        <f>IF(ISERROR(B38/SUM($B$32,$B$34,$B$35,$B$36,$B$38,$B$39)*100),0,B38/SUM($B$32,$B$34,$B$35,$B$36,$B$38,$B$39)*100)</f>
        <v>2.5757575757575748</v>
      </c>
      <c r="D38" s="234"/>
      <c r="G38" s="15"/>
    </row>
    <row r="39" spans="1:7">
      <c r="A39" s="171" t="s">
        <v>78</v>
      </c>
      <c r="B39" s="33">
        <f>IF((B25-(B29-B18))&lt;0,0,B25-(B29-B18)*0.9)</f>
        <v>899.6</v>
      </c>
      <c r="C39" s="167">
        <f>IF(ISERROR(B39/SUM($B$32,$B$34,$B$35,$B$36,$B$38,$B$39)*100),0,B39/SUM($B$32,$B$34,$B$35,$B$36,$B$38,$B$39)*100)</f>
        <v>26.212121212121207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1350</v>
      </c>
      <c r="C44" s="34" t="s">
        <v>111</v>
      </c>
      <c r="D44" s="174"/>
    </row>
    <row r="45" spans="1:7">
      <c r="A45" s="171" t="s">
        <v>72</v>
      </c>
      <c r="B45" s="33" t="str">
        <f t="shared" si="0"/>
        <v>-</v>
      </c>
      <c r="C45" s="34" t="s">
        <v>111</v>
      </c>
      <c r="D45" s="174"/>
    </row>
    <row r="46" spans="1:7">
      <c r="A46" s="171" t="s">
        <v>73</v>
      </c>
      <c r="B46" s="33">
        <f t="shared" si="0"/>
        <v>143.58750000000001</v>
      </c>
      <c r="C46" s="34" t="s">
        <v>111</v>
      </c>
      <c r="D46" s="174"/>
    </row>
    <row r="47" spans="1:7">
      <c r="A47" s="171" t="s">
        <v>74</v>
      </c>
      <c r="B47" s="33">
        <f t="shared" si="0"/>
        <v>729.90312500000005</v>
      </c>
      <c r="C47" s="34" t="s">
        <v>111</v>
      </c>
      <c r="D47" s="174"/>
    </row>
    <row r="48" spans="1:7">
      <c r="A48" s="171" t="s">
        <v>75</v>
      </c>
      <c r="B48" s="33">
        <f t="shared" si="0"/>
        <v>220.50937500000001</v>
      </c>
      <c r="C48" s="33">
        <f>B48*10</f>
        <v>2205.09375</v>
      </c>
      <c r="D48" s="234"/>
    </row>
    <row r="49" spans="1:6">
      <c r="A49" s="171" t="s">
        <v>76</v>
      </c>
      <c r="B49" s="33" t="str">
        <f t="shared" si="0"/>
        <v>-</v>
      </c>
      <c r="C49" s="34" t="s">
        <v>111</v>
      </c>
      <c r="D49" s="234"/>
    </row>
    <row r="50" spans="1:6">
      <c r="A50" s="171" t="s">
        <v>77</v>
      </c>
      <c r="B50" s="33">
        <f t="shared" si="0"/>
        <v>88.399999999999991</v>
      </c>
      <c r="C50" s="33">
        <f>B50*2</f>
        <v>176.79999999999998</v>
      </c>
      <c r="D50" s="234"/>
    </row>
    <row r="51" spans="1:6">
      <c r="A51" s="171" t="s">
        <v>78</v>
      </c>
      <c r="B51" s="33">
        <f t="shared" si="0"/>
        <v>899.6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6217.6349300000002</v>
      </c>
      <c r="C5" s="17">
        <f>IF(ISERROR('Eigen informatie GS &amp; warmtenet'!B58),0,'Eigen informatie GS &amp; warmtenet'!B58)</f>
        <v>0</v>
      </c>
      <c r="D5" s="30">
        <f>SUM(D6:D12)</f>
        <v>11088.315741358349</v>
      </c>
      <c r="E5" s="17">
        <f>SUM(E6:E12)</f>
        <v>69.686539437816208</v>
      </c>
      <c r="F5" s="17">
        <f>SUM(F6:F12)</f>
        <v>942.55413035779657</v>
      </c>
      <c r="G5" s="18"/>
      <c r="H5" s="17"/>
      <c r="I5" s="17"/>
      <c r="J5" s="17">
        <f>SUM(J6:J12)</f>
        <v>0</v>
      </c>
      <c r="K5" s="17"/>
      <c r="L5" s="17"/>
      <c r="M5" s="17"/>
      <c r="N5" s="17">
        <f>SUM(N6:N12)</f>
        <v>690.84524151953929</v>
      </c>
      <c r="O5" s="17">
        <f>B38*B39*B40</f>
        <v>3.1266666666666669</v>
      </c>
      <c r="P5" s="17">
        <f>B46*B47*B48/1000-B46*B47*B48/1000/B49</f>
        <v>19.066666666666666</v>
      </c>
      <c r="R5" s="32"/>
    </row>
    <row r="6" spans="1:18">
      <c r="A6" s="32" t="s">
        <v>54</v>
      </c>
      <c r="B6" s="37">
        <f>B26</f>
        <v>834.77949999999998</v>
      </c>
      <c r="C6" s="33"/>
      <c r="D6" s="37">
        <f>IF(ISERROR(TER_kantoor_gas_kWh/1000),0,TER_kantoor_gas_kWh/1000)*0.902</f>
        <v>447.696271992893</v>
      </c>
      <c r="E6" s="33">
        <f>$C$26*'E Balans VL '!I12/100/3.6*1000000</f>
        <v>2.4184786910193385</v>
      </c>
      <c r="F6" s="33">
        <f>$C$26*('E Balans VL '!L12+'E Balans VL '!N12)/100/3.6*1000000</f>
        <v>94.478647781669707</v>
      </c>
      <c r="G6" s="34"/>
      <c r="H6" s="33"/>
      <c r="I6" s="33"/>
      <c r="J6" s="33">
        <f>$C$26*('E Balans VL '!D12+'E Balans VL '!E12)/100/3.6*1000000</f>
        <v>0</v>
      </c>
      <c r="K6" s="33"/>
      <c r="L6" s="33"/>
      <c r="M6" s="33"/>
      <c r="N6" s="33">
        <f>$C$26*'E Balans VL '!Y12/100/3.6*1000000</f>
        <v>8.3555277020012539</v>
      </c>
      <c r="O6" s="33"/>
      <c r="P6" s="33"/>
      <c r="R6" s="32"/>
    </row>
    <row r="7" spans="1:18">
      <c r="A7" s="32" t="s">
        <v>53</v>
      </c>
      <c r="B7" s="37">
        <f t="shared" ref="B7:B12" si="0">B27</f>
        <v>673.52730000000008</v>
      </c>
      <c r="C7" s="33"/>
      <c r="D7" s="37">
        <f>IF(ISERROR(TER_horeca_gas_kWh/1000),0,TER_horeca_gas_kWh/1000)*0.902</f>
        <v>596.98523489678837</v>
      </c>
      <c r="E7" s="33">
        <f>$C$27*'E Balans VL '!I9/100/3.6*1000000</f>
        <v>28.27279425591535</v>
      </c>
      <c r="F7" s="33">
        <f>$C$27*('E Balans VL '!L9+'E Balans VL '!N9)/100/3.6*1000000</f>
        <v>144.72115238313933</v>
      </c>
      <c r="G7" s="34"/>
      <c r="H7" s="33"/>
      <c r="I7" s="33"/>
      <c r="J7" s="33">
        <f>$C$27*('E Balans VL '!D9+'E Balans VL '!E9)/100/3.6*1000000</f>
        <v>0</v>
      </c>
      <c r="K7" s="33"/>
      <c r="L7" s="33"/>
      <c r="M7" s="33"/>
      <c r="N7" s="33">
        <f>$C$27*'E Balans VL '!Y9/100/3.6*1000000</f>
        <v>0.17356209500008057</v>
      </c>
      <c r="O7" s="33"/>
      <c r="P7" s="33"/>
      <c r="R7" s="32"/>
    </row>
    <row r="8" spans="1:18">
      <c r="A8" s="6" t="s">
        <v>52</v>
      </c>
      <c r="B8" s="37">
        <f t="shared" si="0"/>
        <v>2552.6190000000001</v>
      </c>
      <c r="C8" s="33"/>
      <c r="D8" s="37">
        <f>IF(ISERROR(TER_handel_gas_kWh/1000),0,TER_handel_gas_kWh/1000)*0.902</f>
        <v>411.11876398675292</v>
      </c>
      <c r="E8" s="33">
        <f>$C$28*'E Balans VL '!I13/100/3.6*1000000</f>
        <v>27.417252544401858</v>
      </c>
      <c r="F8" s="33">
        <f>$C$28*('E Balans VL '!L13+'E Balans VL '!N13)/100/3.6*1000000</f>
        <v>330.45760864316094</v>
      </c>
      <c r="G8" s="34"/>
      <c r="H8" s="33"/>
      <c r="I8" s="33"/>
      <c r="J8" s="33">
        <f>$C$28*('E Balans VL '!D13+'E Balans VL '!E13)/100/3.6*1000000</f>
        <v>0</v>
      </c>
      <c r="K8" s="33"/>
      <c r="L8" s="33"/>
      <c r="M8" s="33"/>
      <c r="N8" s="33">
        <f>$C$28*'E Balans VL '!Y13/100/3.6*1000000</f>
        <v>20.70698470705754</v>
      </c>
      <c r="O8" s="33"/>
      <c r="P8" s="33"/>
      <c r="R8" s="32"/>
    </row>
    <row r="9" spans="1:18">
      <c r="A9" s="32" t="s">
        <v>51</v>
      </c>
      <c r="B9" s="37">
        <f t="shared" si="0"/>
        <v>380.02420000000001</v>
      </c>
      <c r="C9" s="33"/>
      <c r="D9" s="37">
        <f>IF(ISERROR(TER_gezond_gas_kWh/1000),0,TER_gezond_gas_kWh/1000)*0.902</f>
        <v>44.913425116073718</v>
      </c>
      <c r="E9" s="33">
        <f>$C$29*'E Balans VL '!I10/100/3.6*1000000</f>
        <v>0.30252384250675701</v>
      </c>
      <c r="F9" s="33">
        <f>$C$29*('E Balans VL '!L10+'E Balans VL '!N10)/100/3.6*1000000</f>
        <v>46.19743335434265</v>
      </c>
      <c r="G9" s="34"/>
      <c r="H9" s="33"/>
      <c r="I9" s="33"/>
      <c r="J9" s="33">
        <f>$C$29*('E Balans VL '!D10+'E Balans VL '!E10)/100/3.6*1000000</f>
        <v>0</v>
      </c>
      <c r="K9" s="33"/>
      <c r="L9" s="33"/>
      <c r="M9" s="33"/>
      <c r="N9" s="33">
        <f>$C$29*'E Balans VL '!Y10/100/3.6*1000000</f>
        <v>3.0697348068033121</v>
      </c>
      <c r="O9" s="33"/>
      <c r="P9" s="33"/>
      <c r="R9" s="32"/>
    </row>
    <row r="10" spans="1:18">
      <c r="A10" s="32" t="s">
        <v>50</v>
      </c>
      <c r="B10" s="37">
        <f t="shared" si="0"/>
        <v>821.7672</v>
      </c>
      <c r="C10" s="33"/>
      <c r="D10" s="37">
        <f>IF(ISERROR(TER_ander_gas_kWh/1000),0,TER_ander_gas_kWh/1000)*0.902</f>
        <v>1022.5426709747234</v>
      </c>
      <c r="E10" s="33">
        <f>$C$30*'E Balans VL '!I14/100/3.6*1000000</f>
        <v>2.8162393645148858</v>
      </c>
      <c r="F10" s="33">
        <f>$C$30*('E Balans VL '!L14+'E Balans VL '!N14)/100/3.6*1000000</f>
        <v>183.54939979453351</v>
      </c>
      <c r="G10" s="34"/>
      <c r="H10" s="33"/>
      <c r="I10" s="33"/>
      <c r="J10" s="33">
        <f>$C$30*('E Balans VL '!D14+'E Balans VL '!E14)/100/3.6*1000000</f>
        <v>0</v>
      </c>
      <c r="K10" s="33"/>
      <c r="L10" s="33"/>
      <c r="M10" s="33"/>
      <c r="N10" s="33">
        <f>$C$30*'E Balans VL '!Y14/100/3.6*1000000</f>
        <v>578.85730490646131</v>
      </c>
      <c r="O10" s="33"/>
      <c r="P10" s="33"/>
      <c r="R10" s="32"/>
    </row>
    <row r="11" spans="1:18">
      <c r="A11" s="32" t="s">
        <v>55</v>
      </c>
      <c r="B11" s="37">
        <f t="shared" si="0"/>
        <v>20.875029999999999</v>
      </c>
      <c r="C11" s="33"/>
      <c r="D11" s="37">
        <f>IF(ISERROR(TER_onderwijs_gas_kWh/1000),0,TER_onderwijs_gas_kWh/1000)*0.902</f>
        <v>0</v>
      </c>
      <c r="E11" s="33">
        <f>$C$31*'E Balans VL '!I11/100/3.6*1000000</f>
        <v>1.4430265338673058E-2</v>
      </c>
      <c r="F11" s="33">
        <f>$C$31*('E Balans VL '!L11+'E Balans VL '!N11)/100/3.6*1000000</f>
        <v>5.4644764755222681</v>
      </c>
      <c r="G11" s="34"/>
      <c r="H11" s="33"/>
      <c r="I11" s="33"/>
      <c r="J11" s="33">
        <f>$C$31*('E Balans VL '!D11+'E Balans VL '!E11)/100/3.6*1000000</f>
        <v>0</v>
      </c>
      <c r="K11" s="33"/>
      <c r="L11" s="33"/>
      <c r="M11" s="33"/>
      <c r="N11" s="33">
        <f>$C$31*'E Balans VL '!Y11/100/3.6*1000000</f>
        <v>2.0779314368643009E-2</v>
      </c>
      <c r="O11" s="33"/>
      <c r="P11" s="33"/>
      <c r="R11" s="32"/>
    </row>
    <row r="12" spans="1:18">
      <c r="A12" s="32" t="s">
        <v>260</v>
      </c>
      <c r="B12" s="37">
        <f t="shared" si="0"/>
        <v>934.04269999999997</v>
      </c>
      <c r="C12" s="33"/>
      <c r="D12" s="37">
        <f>IF(ISERROR(TER_rest_gas_kWh/1000),0,TER_rest_gas_kWh/1000)*0.902</f>
        <v>8565.0593743911177</v>
      </c>
      <c r="E12" s="33">
        <f>$C$32*'E Balans VL '!I8/100/3.6*1000000</f>
        <v>8.4448204741193464</v>
      </c>
      <c r="F12" s="33">
        <f>$C$32*('E Balans VL '!L8+'E Balans VL '!N8)/100/3.6*1000000</f>
        <v>137.6854119254281</v>
      </c>
      <c r="G12" s="34"/>
      <c r="H12" s="33"/>
      <c r="I12" s="33"/>
      <c r="J12" s="33">
        <f>$C$32*('E Balans VL '!D8+'E Balans VL '!E8)/100/3.6*1000000</f>
        <v>0</v>
      </c>
      <c r="K12" s="33"/>
      <c r="L12" s="33"/>
      <c r="M12" s="33"/>
      <c r="N12" s="33">
        <f>$C$32*'E Balans VL '!Y8/100/3.6*1000000</f>
        <v>79.661347987847194</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6217.6349300000002</v>
      </c>
      <c r="C16" s="21">
        <f t="shared" ca="1" si="1"/>
        <v>0</v>
      </c>
      <c r="D16" s="21">
        <f t="shared" ca="1" si="1"/>
        <v>11088.315741358349</v>
      </c>
      <c r="E16" s="21">
        <f t="shared" si="1"/>
        <v>69.686539437816208</v>
      </c>
      <c r="F16" s="21">
        <f t="shared" ca="1" si="1"/>
        <v>942.55413035779657</v>
      </c>
      <c r="G16" s="21">
        <f t="shared" si="1"/>
        <v>0</v>
      </c>
      <c r="H16" s="21">
        <f t="shared" si="1"/>
        <v>0</v>
      </c>
      <c r="I16" s="21">
        <f t="shared" si="1"/>
        <v>0</v>
      </c>
      <c r="J16" s="21">
        <f t="shared" si="1"/>
        <v>0</v>
      </c>
      <c r="K16" s="21">
        <f t="shared" si="1"/>
        <v>0</v>
      </c>
      <c r="L16" s="21">
        <f t="shared" ca="1" si="1"/>
        <v>0</v>
      </c>
      <c r="M16" s="21">
        <f t="shared" si="1"/>
        <v>0</v>
      </c>
      <c r="N16" s="21">
        <f t="shared" ca="1" si="1"/>
        <v>690.84524151953929</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0.20973540885908998</v>
      </c>
      <c r="C18" s="25">
        <f ca="1">'EF ele_warmte'!B22</f>
        <v>0.23363596352060925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1304.0582041801094</v>
      </c>
      <c r="C20" s="23">
        <f t="shared" ref="C20:P20" ca="1" si="2">C16*C18</f>
        <v>0</v>
      </c>
      <c r="D20" s="23">
        <f t="shared" ca="1" si="2"/>
        <v>2239.8397797543867</v>
      </c>
      <c r="E20" s="23">
        <f t="shared" si="2"/>
        <v>15.81884445238428</v>
      </c>
      <c r="F20" s="23">
        <f t="shared" ca="1" si="2"/>
        <v>251.66195280553168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834.77949999999998</v>
      </c>
      <c r="C26" s="39">
        <f>IF(ISERROR(B26*3.6/1000000/'E Balans VL '!Z12*100),0,B26*3.6/1000000/'E Balans VL '!Z12*100)</f>
        <v>1.8336896819244625E-2</v>
      </c>
      <c r="D26" s="237" t="s">
        <v>692</v>
      </c>
      <c r="F26" s="6"/>
    </row>
    <row r="27" spans="1:18">
      <c r="A27" s="231" t="s">
        <v>53</v>
      </c>
      <c r="B27" s="33">
        <f>IF(ISERROR(TER_horeca_ele_kWh/1000),0,TER_horeca_ele_kWh/1000)</f>
        <v>673.52730000000008</v>
      </c>
      <c r="C27" s="39">
        <f>IF(ISERROR(B27*3.6/1000000/'E Balans VL '!Z9*100),0,B27*3.6/1000000/'E Balans VL '!Z9*100)</f>
        <v>5.4124632354423635E-2</v>
      </c>
      <c r="D27" s="237" t="s">
        <v>692</v>
      </c>
      <c r="F27" s="6"/>
    </row>
    <row r="28" spans="1:18">
      <c r="A28" s="171" t="s">
        <v>52</v>
      </c>
      <c r="B28" s="33">
        <f>IF(ISERROR(TER_handel_ele_kWh/1000),0,TER_handel_ele_kWh/1000)</f>
        <v>2552.6190000000001</v>
      </c>
      <c r="C28" s="39">
        <f>IF(ISERROR(B28*3.6/1000000/'E Balans VL '!Z13*100),0,B28*3.6/1000000/'E Balans VL '!Z13*100)</f>
        <v>7.5479160532923487E-2</v>
      </c>
      <c r="D28" s="237" t="s">
        <v>692</v>
      </c>
      <c r="F28" s="6"/>
    </row>
    <row r="29" spans="1:18">
      <c r="A29" s="231" t="s">
        <v>51</v>
      </c>
      <c r="B29" s="33">
        <f>IF(ISERROR(TER_gezond_ele_kWh/1000),0,TER_gezond_ele_kWh/1000)</f>
        <v>380.02420000000001</v>
      </c>
      <c r="C29" s="39">
        <f>IF(ISERROR(B29*3.6/1000000/'E Balans VL '!Z10*100),0,B29*3.6/1000000/'E Balans VL '!Z10*100)</f>
        <v>4.2818915980029577E-2</v>
      </c>
      <c r="D29" s="237" t="s">
        <v>692</v>
      </c>
      <c r="F29" s="6"/>
    </row>
    <row r="30" spans="1:18">
      <c r="A30" s="231" t="s">
        <v>50</v>
      </c>
      <c r="B30" s="33">
        <f>IF(ISERROR(TER_ander_ele_kWh/1000),0,TER_ander_ele_kWh/1000)</f>
        <v>821.7672</v>
      </c>
      <c r="C30" s="39">
        <f>IF(ISERROR(B30*3.6/1000000/'E Balans VL '!Z14*100),0,B30*3.6/1000000/'E Balans VL '!Z14*100)</f>
        <v>6.2148848588424135E-2</v>
      </c>
      <c r="D30" s="237" t="s">
        <v>692</v>
      </c>
      <c r="F30" s="6"/>
    </row>
    <row r="31" spans="1:18">
      <c r="A31" s="231" t="s">
        <v>55</v>
      </c>
      <c r="B31" s="33">
        <f>IF(ISERROR(TER_onderwijs_ele_kWh/1000),0,TER_onderwijs_ele_kWh/1000)</f>
        <v>20.875029999999999</v>
      </c>
      <c r="C31" s="39">
        <f>IF(ISERROR(B31*3.6/1000000/'E Balans VL '!Z11*100),0,B31*3.6/1000000/'E Balans VL '!Z11*100)</f>
        <v>4.3331716349823343E-3</v>
      </c>
      <c r="D31" s="237" t="s">
        <v>692</v>
      </c>
    </row>
    <row r="32" spans="1:18">
      <c r="A32" s="231" t="s">
        <v>260</v>
      </c>
      <c r="B32" s="33">
        <f>IF(ISERROR(TER_rest_ele_kWh/1000),0,TER_rest_ele_kWh/1000)</f>
        <v>934.04269999999997</v>
      </c>
      <c r="C32" s="39">
        <f>IF(ISERROR(B32*3.6/1000000/'E Balans VL '!Z8*100),0,B32*3.6/1000000/'E Balans VL '!Z8*100)</f>
        <v>7.8687602687874912E-3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8334.4393999999993</v>
      </c>
      <c r="C5" s="17">
        <f>IF(ISERROR('Eigen informatie GS &amp; warmtenet'!B59),0,'Eigen informatie GS &amp; warmtenet'!B59)</f>
        <v>0</v>
      </c>
      <c r="D5" s="30">
        <f>SUM(D6:D15)</f>
        <v>1367.2156740394526</v>
      </c>
      <c r="E5" s="17">
        <f>SUM(E6:E15)</f>
        <v>365.55969401085457</v>
      </c>
      <c r="F5" s="17">
        <f>SUM(F6:F15)</f>
        <v>5695.7360803209349</v>
      </c>
      <c r="G5" s="18"/>
      <c r="H5" s="17"/>
      <c r="I5" s="17"/>
      <c r="J5" s="17">
        <f>SUM(J6:J15)</f>
        <v>59.753002645821397</v>
      </c>
      <c r="K5" s="17"/>
      <c r="L5" s="17"/>
      <c r="M5" s="17"/>
      <c r="N5" s="17">
        <f>SUM(N6:N15)</f>
        <v>3499.8999518161295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177.73779999999999</v>
      </c>
      <c r="C8" s="33"/>
      <c r="D8" s="37">
        <f>IF( ISERROR(IND_metaal_Gas_kWH/1000),0,IND_metaal_Gas_kWH/1000)*0.902</f>
        <v>0</v>
      </c>
      <c r="E8" s="33">
        <f>C30*'E Balans VL '!I18/100/3.6*1000000</f>
        <v>4.4481550650269597</v>
      </c>
      <c r="F8" s="33">
        <f>C30*'E Balans VL '!L18/100/3.6*1000000+C30*'E Balans VL '!N18/100/3.6*1000000</f>
        <v>55.703910633285346</v>
      </c>
      <c r="G8" s="34"/>
      <c r="H8" s="33"/>
      <c r="I8" s="33"/>
      <c r="J8" s="40">
        <f>C30*'E Balans VL '!D18/100/3.6*1000000+C30*'E Balans VL '!E18/100/3.6*1000000</f>
        <v>0</v>
      </c>
      <c r="K8" s="33"/>
      <c r="L8" s="33"/>
      <c r="M8" s="33"/>
      <c r="N8" s="33">
        <f>C30*'E Balans VL '!Y18/100/3.6*1000000</f>
        <v>4.4652348058140383</v>
      </c>
      <c r="O8" s="33"/>
      <c r="P8" s="33"/>
      <c r="R8" s="32"/>
    </row>
    <row r="9" spans="1:18">
      <c r="A9" s="6" t="s">
        <v>33</v>
      </c>
      <c r="B9" s="37">
        <f t="shared" si="0"/>
        <v>1118.1220000000001</v>
      </c>
      <c r="C9" s="33"/>
      <c r="D9" s="37">
        <f>IF( ISERROR(IND_andere_gas_kWh/1000),0,IND_andere_gas_kWh/1000)*0.902</f>
        <v>523.33538734758167</v>
      </c>
      <c r="E9" s="33">
        <f>C31*'E Balans VL '!I19/100/3.6*1000000</f>
        <v>307.43769016400887</v>
      </c>
      <c r="F9" s="33">
        <f>C31*'E Balans VL '!L19/100/3.6*1000000+C31*'E Balans VL '!N19/100/3.6*1000000</f>
        <v>881.27470319752786</v>
      </c>
      <c r="G9" s="34"/>
      <c r="H9" s="33"/>
      <c r="I9" s="33"/>
      <c r="J9" s="40">
        <f>C31*'E Balans VL '!D19/100/3.6*1000000+C31*'E Balans VL '!E19/100/3.6*1000000</f>
        <v>0</v>
      </c>
      <c r="K9" s="33"/>
      <c r="L9" s="33"/>
      <c r="M9" s="33"/>
      <c r="N9" s="33">
        <f>C31*'E Balans VL '!Y19/100/3.6*1000000</f>
        <v>361.96560488203909</v>
      </c>
      <c r="O9" s="33"/>
      <c r="P9" s="33"/>
      <c r="R9" s="32"/>
    </row>
    <row r="10" spans="1:18">
      <c r="A10" s="6" t="s">
        <v>41</v>
      </c>
      <c r="B10" s="37">
        <f t="shared" si="0"/>
        <v>2427.0360000000001</v>
      </c>
      <c r="C10" s="33"/>
      <c r="D10" s="37">
        <f>IF( ISERROR(IND_voed_gas_kWh/1000),0,IND_voed_gas_kWh/1000)*0.902</f>
        <v>323.70691471703952</v>
      </c>
      <c r="E10" s="33">
        <f>C32*'E Balans VL '!I20/100/3.6*1000000</f>
        <v>24.742294958238304</v>
      </c>
      <c r="F10" s="33">
        <f>C32*'E Balans VL '!L20/100/3.6*1000000+C32*'E Balans VL '!N20/100/3.6*1000000</f>
        <v>4584.6558243551262</v>
      </c>
      <c r="G10" s="34"/>
      <c r="H10" s="33"/>
      <c r="I10" s="33"/>
      <c r="J10" s="40">
        <f>C32*'E Balans VL '!D20/100/3.6*1000000+C32*'E Balans VL '!E20/100/3.6*1000000</f>
        <v>58.086912777745432</v>
      </c>
      <c r="K10" s="33"/>
      <c r="L10" s="33"/>
      <c r="M10" s="33"/>
      <c r="N10" s="33">
        <f>C32*'E Balans VL '!Y20/100/3.6*1000000</f>
        <v>1279.3275322665236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4214.4139999999998</v>
      </c>
      <c r="C13" s="33"/>
      <c r="D13" s="37">
        <f>IF( ISERROR(IND_papier_gas_kWh/1000),0,IND_papier_gas_kWh/1000)*0.902</f>
        <v>0</v>
      </c>
      <c r="E13" s="33">
        <f>C35*'E Balans VL '!I23/100/3.6*1000000</f>
        <v>8.7283358600951768</v>
      </c>
      <c r="F13" s="33">
        <f>C35*'E Balans VL '!L23/100/3.6*1000000+C35*'E Balans VL '!N23/100/3.6*1000000</f>
        <v>83.580864605508296</v>
      </c>
      <c r="G13" s="34"/>
      <c r="H13" s="33"/>
      <c r="I13" s="33"/>
      <c r="J13" s="40">
        <f>C35*'E Balans VL '!D23/100/3.6*1000000+C35*'E Balans VL '!E23/100/3.6*1000000</f>
        <v>0</v>
      </c>
      <c r="K13" s="33"/>
      <c r="L13" s="33"/>
      <c r="M13" s="33"/>
      <c r="N13" s="33">
        <f>C35*'E Balans VL '!Y23/100/3.6*1000000</f>
        <v>1779.5273296576672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397.12959999999998</v>
      </c>
      <c r="C15" s="33"/>
      <c r="D15" s="37">
        <f>IF( ISERROR(IND_rest_gas_kWh/1000),0,IND_rest_gas_kWh/1000)*0.902</f>
        <v>520.1733719748313</v>
      </c>
      <c r="E15" s="33">
        <f>C37*'E Balans VL '!I15/100/3.6*1000000</f>
        <v>20.203217963485248</v>
      </c>
      <c r="F15" s="33">
        <f>C37*'E Balans VL '!L15/100/3.6*1000000+C37*'E Balans VL '!N15/100/3.6*1000000</f>
        <v>90.520777529486409</v>
      </c>
      <c r="G15" s="34"/>
      <c r="H15" s="33"/>
      <c r="I15" s="33"/>
      <c r="J15" s="40">
        <f>C37*'E Balans VL '!D15/100/3.6*1000000+C37*'E Balans VL '!E15/100/3.6*1000000</f>
        <v>1.6660898680759619</v>
      </c>
      <c r="K15" s="33"/>
      <c r="L15" s="33"/>
      <c r="M15" s="33"/>
      <c r="N15" s="33">
        <f>C37*'E Balans VL '!Y15/100/3.6*1000000</f>
        <v>74.614250204085238</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8334.4393999999993</v>
      </c>
      <c r="C18" s="21">
        <f>C5+C16</f>
        <v>0</v>
      </c>
      <c r="D18" s="21">
        <f>MAX((D5+D16),0)</f>
        <v>1367.2156740394526</v>
      </c>
      <c r="E18" s="21">
        <f>MAX((E5+E16),0)</f>
        <v>365.55969401085457</v>
      </c>
      <c r="F18" s="21">
        <f>MAX((F5+F16),0)</f>
        <v>5695.7360803209349</v>
      </c>
      <c r="G18" s="21"/>
      <c r="H18" s="21"/>
      <c r="I18" s="21"/>
      <c r="J18" s="21">
        <f>MAX((J5+J16),0)</f>
        <v>59.753002645821397</v>
      </c>
      <c r="K18" s="21"/>
      <c r="L18" s="21">
        <f>MAX((L5+L16),0)</f>
        <v>0</v>
      </c>
      <c r="M18" s="21"/>
      <c r="N18" s="21">
        <f>MAX((N5+N16),0)</f>
        <v>3499.8999518161295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0.20973540885908998</v>
      </c>
      <c r="C20" s="25">
        <f ca="1">'EF ele_warmte'!B22</f>
        <v>0.23363596352060925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1748.0270551703084</v>
      </c>
      <c r="C22" s="23">
        <f ca="1">C18*C20</f>
        <v>0</v>
      </c>
      <c r="D22" s="23">
        <f>D18*D20</f>
        <v>276.17756615596943</v>
      </c>
      <c r="E22" s="23">
        <f>E18*E20</f>
        <v>82.982050540463987</v>
      </c>
      <c r="F22" s="23">
        <f>F18*F20</f>
        <v>1520.7615334456898</v>
      </c>
      <c r="G22" s="23"/>
      <c r="H22" s="23"/>
      <c r="I22" s="23"/>
      <c r="J22" s="23">
        <f>J18*J20</f>
        <v>21.152562936620772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177.73779999999999</v>
      </c>
      <c r="C30" s="39">
        <f>IF(ISERROR(B30*3.6/1000000/'E Balans VL '!Z18*100),0,B30*3.6/1000000/'E Balans VL '!Z18*100)</f>
        <v>2.4877368822379852E-2</v>
      </c>
      <c r="D30" s="237" t="s">
        <v>692</v>
      </c>
    </row>
    <row r="31" spans="1:18">
      <c r="A31" s="6" t="s">
        <v>33</v>
      </c>
      <c r="B31" s="37">
        <f>IF( ISERROR(IND_ander_ele_kWh/1000),0,IND_ander_ele_kWh/1000)</f>
        <v>1118.1220000000001</v>
      </c>
      <c r="C31" s="39">
        <f>IF(ISERROR(B31*3.6/1000000/'E Balans VL '!Z19*100),0,B31*3.6/1000000/'E Balans VL '!Z19*100)</f>
        <v>4.8940018554841425E-2</v>
      </c>
      <c r="D31" s="237" t="s">
        <v>692</v>
      </c>
    </row>
    <row r="32" spans="1:18">
      <c r="A32" s="171" t="s">
        <v>41</v>
      </c>
      <c r="B32" s="37">
        <f>IF( ISERROR(IND_voed_ele_kWh/1000),0,IND_voed_ele_kWh/1000)</f>
        <v>2427.0360000000001</v>
      </c>
      <c r="C32" s="39">
        <f>IF(ISERROR(B32*3.6/1000000/'E Balans VL '!Z20*100),0,B32*3.6/1000000/'E Balans VL '!Z20*100)</f>
        <v>0.60085351570996981</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4214.4139999999998</v>
      </c>
      <c r="C35" s="39">
        <f>IF(ISERROR(B35*3.6/1000000/'E Balans VL '!Z22*100),0,B35*3.6/1000000/'E Balans VL '!Z22*100)</f>
        <v>0.11958787543495598</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397.12959999999998</v>
      </c>
      <c r="C37" s="39">
        <f>IF(ISERROR(B37*3.6/1000000/'E Balans VL '!Z15*100),0,B37*3.6/1000000/'E Balans VL '!Z15*100)</f>
        <v>2.9446479925353229E-3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2069.3719999999998</v>
      </c>
      <c r="C5" s="17">
        <f>'Eigen informatie GS &amp; warmtenet'!B60</f>
        <v>0</v>
      </c>
      <c r="D5" s="30">
        <f>IF(ISERROR(SUM(LB_lb_gas_kWh,LB_rest_gas_kWh,onbekend_gas_kWh)/1000),0,SUM(LB_lb_gas_kWh,LB_rest_gas_kWh,onbekend_gas_kWh)/1000)*0.902</f>
        <v>679.1722828281894</v>
      </c>
      <c r="E5" s="17">
        <f>B17*'E Balans VL '!I25/3.6*1000000/100</f>
        <v>19.16739019666533</v>
      </c>
      <c r="F5" s="17">
        <f>B17*('E Balans VL '!L25/3.6*1000000+'E Balans VL '!N25/3.6*1000000)/100</f>
        <v>5250.3909789614481</v>
      </c>
      <c r="G5" s="18"/>
      <c r="H5" s="17"/>
      <c r="I5" s="17"/>
      <c r="J5" s="17">
        <f>('E Balans VL '!D25+'E Balans VL '!E25)/3.6*1000000*landbouw!B17/100</f>
        <v>317.25782185892274</v>
      </c>
      <c r="K5" s="17"/>
      <c r="L5" s="17">
        <f>L6*(-1)</f>
        <v>0</v>
      </c>
      <c r="M5" s="17"/>
      <c r="N5" s="17">
        <f>N6*(-1)</f>
        <v>124.71428571428569</v>
      </c>
      <c r="O5" s="17"/>
      <c r="P5" s="17"/>
      <c r="R5" s="32"/>
    </row>
    <row r="6" spans="1:18">
      <c r="A6" s="16" t="s">
        <v>494</v>
      </c>
      <c r="B6" s="17" t="s">
        <v>211</v>
      </c>
      <c r="C6" s="17">
        <f>'lokale energieproductie'!O91+'lokale energieproductie'!O60</f>
        <v>3694.4999999999991</v>
      </c>
      <c r="D6" s="310">
        <f>('lokale energieproductie'!P60+'lokale energieproductie'!P91)*(-1)</f>
        <v>-7264.2857142857138</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2069.3719999999998</v>
      </c>
      <c r="C8" s="21">
        <f>C5+C6</f>
        <v>3694.4999999999991</v>
      </c>
      <c r="D8" s="21">
        <f>MAX((D5+D6),0)</f>
        <v>0</v>
      </c>
      <c r="E8" s="21">
        <f>MAX((E5+E6),0)</f>
        <v>19.16739019666533</v>
      </c>
      <c r="F8" s="21">
        <f>MAX((F5+F6),0)</f>
        <v>5250.3909789614481</v>
      </c>
      <c r="G8" s="21"/>
      <c r="H8" s="21"/>
      <c r="I8" s="21"/>
      <c r="J8" s="21">
        <f>MAX((J5+J6),0)</f>
        <v>317.25782185892274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0.20973540885908998</v>
      </c>
      <c r="C10" s="31">
        <f ca="1">'EF ele_warmte'!B22</f>
        <v>0.23363596352060925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434.02058250155272</v>
      </c>
      <c r="C12" s="23">
        <f ca="1">C8*C10</f>
        <v>863.16806722689068</v>
      </c>
      <c r="D12" s="23">
        <f>D8*D10</f>
        <v>0</v>
      </c>
      <c r="E12" s="23">
        <f>E8*E10</f>
        <v>4.3509975746430305</v>
      </c>
      <c r="F12" s="23">
        <f>F8*F10</f>
        <v>1401.8543913827068</v>
      </c>
      <c r="G12" s="23"/>
      <c r="H12" s="23"/>
      <c r="I12" s="23"/>
      <c r="J12" s="23">
        <f>J8*J10</f>
        <v>112.30926893805865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0.29422082012928169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437.36784695027734</v>
      </c>
      <c r="C26" s="247">
        <f>B26*'GWP N2O_CH4'!B5</f>
        <v>9184.7247859558247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253.60118753116828</v>
      </c>
      <c r="C27" s="247">
        <f>B27*'GWP N2O_CH4'!B5</f>
        <v>5325.624938154534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6.6712909541267162</v>
      </c>
      <c r="C28" s="247">
        <f>B28*'GWP N2O_CH4'!B4</f>
        <v>2068.1001957792819</v>
      </c>
      <c r="D28" s="50"/>
    </row>
    <row r="29" spans="1:4">
      <c r="A29" s="41" t="s">
        <v>277</v>
      </c>
      <c r="B29" s="247">
        <f>B34*'ha_N2O bodem landbouw'!B4</f>
        <v>15.53664043539227</v>
      </c>
      <c r="C29" s="247">
        <f>B29*'GWP N2O_CH4'!B4</f>
        <v>4816.3585349716041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3.4845947358418854E-3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3.1312865702610266E-5</v>
      </c>
      <c r="C5" s="464" t="s">
        <v>211</v>
      </c>
      <c r="D5" s="449">
        <f>SUM(D6:D11)</f>
        <v>7.6771333004915297E-5</v>
      </c>
      <c r="E5" s="449">
        <f>SUM(E6:E11)</f>
        <v>4.9487370237463399E-4</v>
      </c>
      <c r="F5" s="462" t="s">
        <v>211</v>
      </c>
      <c r="G5" s="449">
        <f>SUM(G6:G11)</f>
        <v>0.15367568263955092</v>
      </c>
      <c r="H5" s="449">
        <f>SUM(H6:H11)</f>
        <v>2.9164355215729285E-2</v>
      </c>
      <c r="I5" s="464" t="s">
        <v>211</v>
      </c>
      <c r="J5" s="464" t="s">
        <v>211</v>
      </c>
      <c r="K5" s="464" t="s">
        <v>211</v>
      </c>
      <c r="L5" s="464" t="s">
        <v>211</v>
      </c>
      <c r="M5" s="449">
        <f>SUM(M6:M11)</f>
        <v>9.7872260966389828E-3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2.8871375693359386E-5</v>
      </c>
      <c r="C6" s="450"/>
      <c r="D6" s="963">
        <f>vkm_2011_GW_PW*SUMIFS(TableVerdeelsleutelVkm[CNG],TableVerdeelsleutelVkm[Voertuigtype],"Lichte voertuigen")*SUMIFS(TableECFTransport[EnergieConsumptieFactor (PJ per km)],TableECFTransport[Index],CONCATENATE($A6,"_CNG_CNG"))</f>
        <v>6.6782670585531303E-5</v>
      </c>
      <c r="E6" s="963">
        <f>vkm_2011_GW_PW*SUMIFS(TableVerdeelsleutelVkm[LPG],TableVerdeelsleutelVkm[Voertuigtype],"Lichte voertuigen")*SUMIFS(TableECFTransport[EnergieConsumptieFactor (PJ per km)],TableECFTransport[Index],CONCATENATE($A6,"_LPG_LPG"))</f>
        <v>4.3484842192785419E-4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9.0336542529515604E-2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2.5464004478642315E-2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6.0094480875849121E-3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5.0998641019832612E-2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1.7440609050318319E-5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2.9505604564131556E-3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2.4414900092508767E-6</v>
      </c>
      <c r="C8" s="450"/>
      <c r="D8" s="452">
        <f>vkm_2011_NGW_PW*SUMIFS(TableVerdeelsleutelVkm[CNG],TableVerdeelsleutelVkm[Voertuigtype],"Lichte voertuigen")*SUMIFS(TableECFTransport[EnergieConsumptieFactor (PJ per km)],TableECFTransport[Index],CONCATENATE($A8,"_CNG_CNG"))</f>
        <v>9.9886624193839904E-6</v>
      </c>
      <c r="E8" s="452">
        <f>vkm_2011_NGW_PW*SUMIFS(TableVerdeelsleutelVkm[LPG],TableVerdeelsleutelVkm[Voertuigtype],"Lichte voertuigen")*SUMIFS(TableECFTransport[EnergieConsumptieFactor (PJ per km)],TableECFTransport[Index],CONCATENATE($A8,"_LPG_LPG"))</f>
        <v>6.0025280446779815E-5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1.1656821281754591E-2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3.6826888978617831E-3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7.8766330329295561E-4</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6.8367780844811221E-4</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2.2123017486656531E-7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3.9554249347959368E-5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8.6980182507250738</v>
      </c>
      <c r="C14" s="21"/>
      <c r="D14" s="21">
        <f t="shared" ref="D14:M14" si="0">((D5)*10^9/3600)+D12</f>
        <v>21.32537027914314</v>
      </c>
      <c r="E14" s="21">
        <f t="shared" si="0"/>
        <v>137.46491732628721</v>
      </c>
      <c r="F14" s="21"/>
      <c r="G14" s="21">
        <f t="shared" si="0"/>
        <v>42687.689622097481</v>
      </c>
      <c r="H14" s="21">
        <f t="shared" si="0"/>
        <v>8101.2097821470234</v>
      </c>
      <c r="I14" s="21"/>
      <c r="J14" s="21"/>
      <c r="K14" s="21"/>
      <c r="L14" s="21"/>
      <c r="M14" s="21">
        <f t="shared" si="0"/>
        <v>2718.6739157330508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0.20973540885908998</v>
      </c>
      <c r="C16" s="56">
        <f ca="1">'EF ele_warmte'!B22</f>
        <v>0.23363596352060925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1.8242824140796499</v>
      </c>
      <c r="C18" s="23"/>
      <c r="D18" s="23">
        <f t="shared" ref="D18:M18" si="1">D14*D16</f>
        <v>4.307724796386915</v>
      </c>
      <c r="E18" s="23">
        <f t="shared" si="1"/>
        <v>31.204536233067198</v>
      </c>
      <c r="F18" s="23"/>
      <c r="G18" s="23">
        <f t="shared" si="1"/>
        <v>11397.613129100027</v>
      </c>
      <c r="H18" s="23">
        <f t="shared" si="1"/>
        <v>2017.2012357546089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1.859568562187333E-3</v>
      </c>
      <c r="H50" s="321">
        <f t="shared" si="2"/>
        <v>0</v>
      </c>
      <c r="I50" s="321">
        <f t="shared" si="2"/>
        <v>0</v>
      </c>
      <c r="J50" s="321">
        <f t="shared" si="2"/>
        <v>0</v>
      </c>
      <c r="K50" s="321">
        <f t="shared" si="2"/>
        <v>0</v>
      </c>
      <c r="L50" s="321">
        <f t="shared" si="2"/>
        <v>0</v>
      </c>
      <c r="M50" s="321">
        <f t="shared" si="2"/>
        <v>1.0604577416634727E-4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1.859568562187333E-3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1.0604577416634727E-4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516.54682282981469</v>
      </c>
      <c r="H54" s="21">
        <f t="shared" si="3"/>
        <v>0</v>
      </c>
      <c r="I54" s="21">
        <f t="shared" si="3"/>
        <v>0</v>
      </c>
      <c r="J54" s="21">
        <f t="shared" si="3"/>
        <v>0</v>
      </c>
      <c r="K54" s="21">
        <f t="shared" si="3"/>
        <v>0</v>
      </c>
      <c r="L54" s="21">
        <f t="shared" si="3"/>
        <v>0</v>
      </c>
      <c r="M54" s="21">
        <f t="shared" si="3"/>
        <v>29.457159490652021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0.20973540885908998</v>
      </c>
      <c r="C56" s="56">
        <f ca="1">'EF ele_warmte'!B22</f>
        <v>0.23363596352060925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137.91800169556052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1956.2262872239721</v>
      </c>
      <c r="C6" s="1223"/>
      <c r="D6" s="1226"/>
      <c r="E6" s="1226"/>
      <c r="F6" s="1229"/>
      <c r="G6" s="1232"/>
      <c r="H6" s="1220"/>
      <c r="I6" s="1226"/>
      <c r="J6" s="1226"/>
      <c r="K6" s="1226"/>
      <c r="L6" s="1256"/>
      <c r="M6" s="576"/>
      <c r="N6" s="1268"/>
      <c r="O6" s="1269"/>
      <c r="Q6" s="574"/>
      <c r="R6" s="1253"/>
      <c r="S6" s="1253"/>
    </row>
    <row r="7" spans="1:19" s="564" customFormat="1">
      <c r="A7" s="577" t="s">
        <v>252</v>
      </c>
      <c r="B7" s="578">
        <f>N57</f>
        <v>2586.1499999999996</v>
      </c>
      <c r="C7" s="579">
        <f>B100</f>
        <v>2991.1764705882351</v>
      </c>
      <c r="D7" s="580"/>
      <c r="E7" s="580">
        <f>E100</f>
        <v>0</v>
      </c>
      <c r="F7" s="581"/>
      <c r="G7" s="582"/>
      <c r="H7" s="580">
        <f>I100</f>
        <v>0</v>
      </c>
      <c r="I7" s="580">
        <f>G100+F100</f>
        <v>0</v>
      </c>
      <c r="J7" s="580">
        <f>H100+D100+C100</f>
        <v>51.352941176470587</v>
      </c>
      <c r="K7" s="580"/>
      <c r="L7" s="583"/>
      <c r="M7" s="584">
        <f>C7*$C$11+D7*$D$11+E7*$E$11+F7*$F$11+G7*$G$11+H7*$H$11+I7*$I$11+J7*$J$11</f>
        <v>604.21764705882356</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4542.3762872239713</v>
      </c>
      <c r="C9" s="595">
        <f t="shared" ref="C9:L9" si="0">SUM(C7:C8)</f>
        <v>2991.1764705882351</v>
      </c>
      <c r="D9" s="595">
        <f t="shared" si="0"/>
        <v>0</v>
      </c>
      <c r="E9" s="595">
        <f t="shared" si="0"/>
        <v>0</v>
      </c>
      <c r="F9" s="595">
        <f t="shared" si="0"/>
        <v>0</v>
      </c>
      <c r="G9" s="595">
        <f t="shared" si="0"/>
        <v>0</v>
      </c>
      <c r="H9" s="595">
        <f t="shared" si="0"/>
        <v>0</v>
      </c>
      <c r="I9" s="595">
        <f t="shared" si="0"/>
        <v>0</v>
      </c>
      <c r="J9" s="595">
        <f t="shared" si="0"/>
        <v>51.352941176470587</v>
      </c>
      <c r="K9" s="595">
        <f t="shared" si="0"/>
        <v>0</v>
      </c>
      <c r="L9" s="595">
        <f t="shared" si="0"/>
        <v>0</v>
      </c>
      <c r="M9" s="596">
        <f>SUM(M4:M8)</f>
        <v>604.21764705882356</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3694.4999999999991</v>
      </c>
      <c r="C16" s="611">
        <f>B101</f>
        <v>4273.1092436974786</v>
      </c>
      <c r="D16" s="612"/>
      <c r="E16" s="612">
        <f>E101</f>
        <v>0</v>
      </c>
      <c r="F16" s="613"/>
      <c r="G16" s="614"/>
      <c r="H16" s="611">
        <f>I101</f>
        <v>0</v>
      </c>
      <c r="I16" s="612">
        <f>G101+F101</f>
        <v>0</v>
      </c>
      <c r="J16" s="612">
        <f>H101+D101+C101</f>
        <v>73.361344537815114</v>
      </c>
      <c r="K16" s="612"/>
      <c r="L16" s="615"/>
      <c r="M16" s="616">
        <f>C16*$C$21+E16*$E$21+H16*$H$21+I16*$I$21+J16*$J$21+D16*$D$21+F16*$F$21+G16*$G$21+K16*$K$21+L16*$L$21</f>
        <v>863.16806722689068</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3694.4999999999991</v>
      </c>
      <c r="C19" s="594">
        <f>SUM(C16:C18)</f>
        <v>4273.1092436974786</v>
      </c>
      <c r="D19" s="594">
        <f t="shared" ref="D19:M19" si="1">SUM(D16:D18)</f>
        <v>0</v>
      </c>
      <c r="E19" s="594">
        <f t="shared" si="1"/>
        <v>0</v>
      </c>
      <c r="F19" s="594">
        <f t="shared" si="1"/>
        <v>0</v>
      </c>
      <c r="G19" s="594">
        <f t="shared" si="1"/>
        <v>0</v>
      </c>
      <c r="H19" s="594">
        <f t="shared" si="1"/>
        <v>0</v>
      </c>
      <c r="I19" s="594">
        <f t="shared" si="1"/>
        <v>0</v>
      </c>
      <c r="J19" s="594">
        <f t="shared" si="1"/>
        <v>73.361344537815114</v>
      </c>
      <c r="K19" s="594">
        <f t="shared" si="1"/>
        <v>0</v>
      </c>
      <c r="L19" s="594">
        <f t="shared" si="1"/>
        <v>0</v>
      </c>
      <c r="M19" s="621">
        <f t="shared" si="1"/>
        <v>863.16806722689068</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44029</v>
      </c>
      <c r="C27" s="852">
        <v>9910</v>
      </c>
      <c r="D27" s="673" t="s">
        <v>871</v>
      </c>
      <c r="E27" s="672" t="s">
        <v>872</v>
      </c>
      <c r="F27" s="672" t="s">
        <v>873</v>
      </c>
      <c r="G27" s="672" t="s">
        <v>874</v>
      </c>
      <c r="H27" s="672" t="s">
        <v>875</v>
      </c>
      <c r="I27" s="672" t="s">
        <v>872</v>
      </c>
      <c r="J27" s="851">
        <v>41117</v>
      </c>
      <c r="K27" s="851">
        <v>41214</v>
      </c>
      <c r="L27" s="672" t="s">
        <v>876</v>
      </c>
      <c r="M27" s="672">
        <v>9.6999999999999993</v>
      </c>
      <c r="N27" s="672">
        <v>43.649999999999991</v>
      </c>
      <c r="O27" s="672">
        <v>62.357142857142847</v>
      </c>
      <c r="P27" s="672">
        <v>0</v>
      </c>
      <c r="Q27" s="672">
        <v>124.71428571428569</v>
      </c>
      <c r="R27" s="672">
        <v>0</v>
      </c>
      <c r="S27" s="672">
        <v>0</v>
      </c>
      <c r="T27" s="672">
        <v>0</v>
      </c>
      <c r="U27" s="672">
        <v>0</v>
      </c>
      <c r="V27" s="672">
        <v>0</v>
      </c>
      <c r="W27" s="672">
        <v>0</v>
      </c>
      <c r="X27" s="672">
        <v>10</v>
      </c>
      <c r="Y27" s="672" t="s">
        <v>112</v>
      </c>
      <c r="Z27" s="674" t="s">
        <v>112</v>
      </c>
    </row>
    <row r="28" spans="1:26" s="626" customFormat="1" ht="25.5">
      <c r="A28" s="625"/>
      <c r="B28" s="852">
        <v>44029</v>
      </c>
      <c r="C28" s="852">
        <v>9910</v>
      </c>
      <c r="D28" s="673" t="s">
        <v>877</v>
      </c>
      <c r="E28" s="672" t="s">
        <v>878</v>
      </c>
      <c r="F28" s="672" t="s">
        <v>879</v>
      </c>
      <c r="G28" s="672" t="s">
        <v>874</v>
      </c>
      <c r="H28" s="672" t="s">
        <v>875</v>
      </c>
      <c r="I28" s="672" t="s">
        <v>878</v>
      </c>
      <c r="J28" s="851">
        <v>41599</v>
      </c>
      <c r="K28" s="851">
        <v>41599</v>
      </c>
      <c r="L28" s="672" t="s">
        <v>876</v>
      </c>
      <c r="M28" s="672">
        <v>565</v>
      </c>
      <c r="N28" s="672">
        <v>2542.4999999999995</v>
      </c>
      <c r="O28" s="672">
        <v>3632.1428571428564</v>
      </c>
      <c r="P28" s="672">
        <v>7264.2857142857138</v>
      </c>
      <c r="Q28" s="672">
        <v>0</v>
      </c>
      <c r="R28" s="672">
        <v>0</v>
      </c>
      <c r="S28" s="672">
        <v>0</v>
      </c>
      <c r="T28" s="672">
        <v>0</v>
      </c>
      <c r="U28" s="672">
        <v>0</v>
      </c>
      <c r="V28" s="672">
        <v>0</v>
      </c>
      <c r="W28" s="672">
        <v>0</v>
      </c>
      <c r="X28" s="672">
        <v>10</v>
      </c>
      <c r="Y28" s="672" t="s">
        <v>112</v>
      </c>
      <c r="Z28" s="674" t="s">
        <v>112</v>
      </c>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574.70000000000005</v>
      </c>
      <c r="N57" s="630">
        <f>SUM(N27:N56)</f>
        <v>2586.1499999999996</v>
      </c>
      <c r="O57" s="630">
        <f t="shared" ref="O57:W57" si="2">SUM(O27:O56)</f>
        <v>3694.4999999999991</v>
      </c>
      <c r="P57" s="630">
        <f t="shared" si="2"/>
        <v>7264.2857142857138</v>
      </c>
      <c r="Q57" s="630">
        <f t="shared" si="2"/>
        <v>124.71428571428569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574.70000000000005</v>
      </c>
      <c r="N60" s="635">
        <f t="shared" ref="N60:W60" si="4">SUMIF($Z$27:$Z$56,"landbouw",N27:N56)</f>
        <v>2586.1499999999996</v>
      </c>
      <c r="O60" s="635">
        <f t="shared" si="4"/>
        <v>3694.4999999999991</v>
      </c>
      <c r="P60" s="635">
        <f t="shared" si="4"/>
        <v>7264.2857142857138</v>
      </c>
      <c r="Q60" s="635">
        <f t="shared" si="4"/>
        <v>124.71428571428569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2991.1764705882351</v>
      </c>
      <c r="C100" s="664">
        <f t="shared" si="9"/>
        <v>51.352941176470587</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4273.1092436974786</v>
      </c>
      <c r="C101" s="667">
        <f t="shared" ref="C101:H101" si="10">$B$97*Q57</f>
        <v>73.361344537815114</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6833.1529300000002</v>
      </c>
      <c r="D10" s="719">
        <f ca="1">tertiair!C16</f>
        <v>0</v>
      </c>
      <c r="E10" s="719">
        <f ca="1">tertiair!D16</f>
        <v>11088.315741358349</v>
      </c>
      <c r="F10" s="719">
        <f>tertiair!E16</f>
        <v>69.686539437816208</v>
      </c>
      <c r="G10" s="719">
        <f ca="1">tertiair!F16</f>
        <v>942.55413035779657</v>
      </c>
      <c r="H10" s="719">
        <f>tertiair!G16</f>
        <v>0</v>
      </c>
      <c r="I10" s="719">
        <f>tertiair!H16</f>
        <v>0</v>
      </c>
      <c r="J10" s="719">
        <f>tertiair!I16</f>
        <v>0</v>
      </c>
      <c r="K10" s="719">
        <f>tertiair!J16</f>
        <v>0</v>
      </c>
      <c r="L10" s="719">
        <f>tertiair!K16</f>
        <v>0</v>
      </c>
      <c r="M10" s="719">
        <f ca="1">tertiair!L16</f>
        <v>0</v>
      </c>
      <c r="N10" s="719">
        <f>tertiair!M16</f>
        <v>0</v>
      </c>
      <c r="O10" s="719">
        <f ca="1">tertiair!N16</f>
        <v>690.84524151953929</v>
      </c>
      <c r="P10" s="719">
        <f>tertiair!O16</f>
        <v>3.1266666666666669</v>
      </c>
      <c r="Q10" s="720">
        <f>tertiair!P16</f>
        <v>19.066666666666666</v>
      </c>
      <c r="R10" s="722">
        <f ca="1">SUM(C10:Q10)</f>
        <v>19646.747916006832</v>
      </c>
      <c r="S10" s="67"/>
    </row>
    <row r="11" spans="1:19" s="475" customFormat="1">
      <c r="A11" s="871" t="s">
        <v>225</v>
      </c>
      <c r="B11" s="876"/>
      <c r="C11" s="719">
        <f>huishoudens!B8</f>
        <v>18232.546085454367</v>
      </c>
      <c r="D11" s="719">
        <f>huishoudens!C8</f>
        <v>0</v>
      </c>
      <c r="E11" s="719">
        <f>huishoudens!D8</f>
        <v>17462.471864203293</v>
      </c>
      <c r="F11" s="719">
        <f>huishoudens!E8</f>
        <v>2142.3966415190525</v>
      </c>
      <c r="G11" s="719">
        <f>huishoudens!F8</f>
        <v>22144.990760803499</v>
      </c>
      <c r="H11" s="719">
        <f>huishoudens!G8</f>
        <v>0</v>
      </c>
      <c r="I11" s="719">
        <f>huishoudens!H8</f>
        <v>0</v>
      </c>
      <c r="J11" s="719">
        <f>huishoudens!I8</f>
        <v>0</v>
      </c>
      <c r="K11" s="719">
        <f>huishoudens!J8</f>
        <v>3109.4013797054386</v>
      </c>
      <c r="L11" s="719">
        <f>huishoudens!K8</f>
        <v>0</v>
      </c>
      <c r="M11" s="719">
        <f>huishoudens!L8</f>
        <v>0</v>
      </c>
      <c r="N11" s="719">
        <f>huishoudens!M8</f>
        <v>0</v>
      </c>
      <c r="O11" s="719">
        <f>huishoudens!N8</f>
        <v>12476.951579086399</v>
      </c>
      <c r="P11" s="719">
        <f>huishoudens!O8</f>
        <v>145.39000000000001</v>
      </c>
      <c r="Q11" s="720">
        <f>huishoudens!P8</f>
        <v>247.86666666666667</v>
      </c>
      <c r="R11" s="722">
        <f>SUM(C11:Q11)</f>
        <v>75962.01497743871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8334.4393999999993</v>
      </c>
      <c r="D13" s="719">
        <f>industrie!C18</f>
        <v>0</v>
      </c>
      <c r="E13" s="719">
        <f>industrie!D18</f>
        <v>1367.2156740394526</v>
      </c>
      <c r="F13" s="719">
        <f>industrie!E18</f>
        <v>365.55969401085457</v>
      </c>
      <c r="G13" s="719">
        <f>industrie!F18</f>
        <v>5695.7360803209349</v>
      </c>
      <c r="H13" s="719">
        <f>industrie!G18</f>
        <v>0</v>
      </c>
      <c r="I13" s="719">
        <f>industrie!H18</f>
        <v>0</v>
      </c>
      <c r="J13" s="719">
        <f>industrie!I18</f>
        <v>0</v>
      </c>
      <c r="K13" s="719">
        <f>industrie!J18</f>
        <v>59.753002645821397</v>
      </c>
      <c r="L13" s="719">
        <f>industrie!K18</f>
        <v>0</v>
      </c>
      <c r="M13" s="719">
        <f>industrie!L18</f>
        <v>0</v>
      </c>
      <c r="N13" s="719">
        <f>industrie!M18</f>
        <v>0</v>
      </c>
      <c r="O13" s="719">
        <f>industrie!N18</f>
        <v>3499.8999518161295</v>
      </c>
      <c r="P13" s="719">
        <f>industrie!O18</f>
        <v>0</v>
      </c>
      <c r="Q13" s="720">
        <f>industrie!P18</f>
        <v>0</v>
      </c>
      <c r="R13" s="722">
        <f>SUM(C13:Q13)</f>
        <v>19322.603802833193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33400.138415454363</v>
      </c>
      <c r="D15" s="724">
        <f t="shared" ref="D15:Q15" ca="1" si="0">SUM(D9:D14)</f>
        <v>0</v>
      </c>
      <c r="E15" s="724">
        <f t="shared" ca="1" si="0"/>
        <v>29918.003279601096</v>
      </c>
      <c r="F15" s="724">
        <f t="shared" si="0"/>
        <v>2577.6428749677229</v>
      </c>
      <c r="G15" s="724">
        <f t="shared" ca="1" si="0"/>
        <v>28783.280971482229</v>
      </c>
      <c r="H15" s="724">
        <f t="shared" si="0"/>
        <v>0</v>
      </c>
      <c r="I15" s="724">
        <f t="shared" si="0"/>
        <v>0</v>
      </c>
      <c r="J15" s="724">
        <f t="shared" si="0"/>
        <v>0</v>
      </c>
      <c r="K15" s="724">
        <f t="shared" si="0"/>
        <v>3169.1543823512598</v>
      </c>
      <c r="L15" s="724">
        <f t="shared" si="0"/>
        <v>0</v>
      </c>
      <c r="M15" s="724">
        <f t="shared" ca="1" si="0"/>
        <v>0</v>
      </c>
      <c r="N15" s="724">
        <f t="shared" si="0"/>
        <v>0</v>
      </c>
      <c r="O15" s="724">
        <f t="shared" ca="1" si="0"/>
        <v>16667.696772422067</v>
      </c>
      <c r="P15" s="724">
        <f t="shared" si="0"/>
        <v>148.51666666666668</v>
      </c>
      <c r="Q15" s="725">
        <f t="shared" si="0"/>
        <v>266.93333333333334</v>
      </c>
      <c r="R15" s="726">
        <f ca="1">SUM(R9:R14)</f>
        <v>114931.36669627874</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516.54682282981469</v>
      </c>
      <c r="I18" s="719">
        <f>transport!H54</f>
        <v>0</v>
      </c>
      <c r="J18" s="719">
        <f>transport!I54</f>
        <v>0</v>
      </c>
      <c r="K18" s="719">
        <f>transport!J54</f>
        <v>0</v>
      </c>
      <c r="L18" s="719">
        <f>transport!K54</f>
        <v>0</v>
      </c>
      <c r="M18" s="719">
        <f>transport!L54</f>
        <v>0</v>
      </c>
      <c r="N18" s="719">
        <f>transport!M54</f>
        <v>29.457159490652021</v>
      </c>
      <c r="O18" s="719">
        <f>transport!N54</f>
        <v>0</v>
      </c>
      <c r="P18" s="719">
        <f>transport!O54</f>
        <v>0</v>
      </c>
      <c r="Q18" s="720">
        <f>transport!P54</f>
        <v>0</v>
      </c>
      <c r="R18" s="722">
        <f>SUM(C18:Q18)</f>
        <v>546.00398232046666</v>
      </c>
      <c r="S18" s="67"/>
    </row>
    <row r="19" spans="1:19" s="475" customFormat="1" ht="15" thickBot="1">
      <c r="A19" s="871" t="s">
        <v>307</v>
      </c>
      <c r="B19" s="876"/>
      <c r="C19" s="728">
        <f>transport!B14</f>
        <v>8.6980182507250738</v>
      </c>
      <c r="D19" s="728">
        <f>transport!C14</f>
        <v>0</v>
      </c>
      <c r="E19" s="728">
        <f>transport!D14</f>
        <v>21.32537027914314</v>
      </c>
      <c r="F19" s="728">
        <f>transport!E14</f>
        <v>137.46491732628721</v>
      </c>
      <c r="G19" s="728">
        <f>transport!F14</f>
        <v>0</v>
      </c>
      <c r="H19" s="728">
        <f>transport!G14</f>
        <v>42687.689622097481</v>
      </c>
      <c r="I19" s="728">
        <f>transport!H14</f>
        <v>8101.2097821470234</v>
      </c>
      <c r="J19" s="728">
        <f>transport!I14</f>
        <v>0</v>
      </c>
      <c r="K19" s="728">
        <f>transport!J14</f>
        <v>0</v>
      </c>
      <c r="L19" s="728">
        <f>transport!K14</f>
        <v>0</v>
      </c>
      <c r="M19" s="728">
        <f>transport!L14</f>
        <v>0</v>
      </c>
      <c r="N19" s="728">
        <f>transport!M14</f>
        <v>2718.6739157330508</v>
      </c>
      <c r="O19" s="728">
        <f>transport!N14</f>
        <v>0</v>
      </c>
      <c r="P19" s="728">
        <f>transport!O14</f>
        <v>0</v>
      </c>
      <c r="Q19" s="729">
        <f>transport!P14</f>
        <v>0</v>
      </c>
      <c r="R19" s="730">
        <f>SUM(C19:Q19)</f>
        <v>53675.06162583371</v>
      </c>
      <c r="S19" s="67"/>
    </row>
    <row r="20" spans="1:19" s="475" customFormat="1" ht="15.75" thickBot="1">
      <c r="A20" s="731" t="s">
        <v>230</v>
      </c>
      <c r="B20" s="879"/>
      <c r="C20" s="874">
        <f>SUM(C17:C19)</f>
        <v>8.6980182507250738</v>
      </c>
      <c r="D20" s="732">
        <f t="shared" ref="D20:R20" si="1">SUM(D17:D19)</f>
        <v>0</v>
      </c>
      <c r="E20" s="732">
        <f t="shared" si="1"/>
        <v>21.32537027914314</v>
      </c>
      <c r="F20" s="732">
        <f t="shared" si="1"/>
        <v>137.46491732628721</v>
      </c>
      <c r="G20" s="732">
        <f t="shared" si="1"/>
        <v>0</v>
      </c>
      <c r="H20" s="732">
        <f t="shared" si="1"/>
        <v>43204.236444927294</v>
      </c>
      <c r="I20" s="732">
        <f t="shared" si="1"/>
        <v>8101.2097821470234</v>
      </c>
      <c r="J20" s="732">
        <f t="shared" si="1"/>
        <v>0</v>
      </c>
      <c r="K20" s="732">
        <f t="shared" si="1"/>
        <v>0</v>
      </c>
      <c r="L20" s="732">
        <f t="shared" si="1"/>
        <v>0</v>
      </c>
      <c r="M20" s="732">
        <f t="shared" si="1"/>
        <v>0</v>
      </c>
      <c r="N20" s="732">
        <f t="shared" si="1"/>
        <v>2748.1310752237027</v>
      </c>
      <c r="O20" s="732">
        <f t="shared" si="1"/>
        <v>0</v>
      </c>
      <c r="P20" s="732">
        <f t="shared" si="1"/>
        <v>0</v>
      </c>
      <c r="Q20" s="733">
        <f t="shared" si="1"/>
        <v>0</v>
      </c>
      <c r="R20" s="734">
        <f t="shared" si="1"/>
        <v>54221.065608154175</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2069.3719999999998</v>
      </c>
      <c r="D22" s="728">
        <f>+landbouw!C8</f>
        <v>3694.4999999999991</v>
      </c>
      <c r="E22" s="728">
        <f>+landbouw!D8</f>
        <v>0</v>
      </c>
      <c r="F22" s="728">
        <f>+landbouw!E8</f>
        <v>19.16739019666533</v>
      </c>
      <c r="G22" s="728">
        <f>+landbouw!F8</f>
        <v>5250.3909789614481</v>
      </c>
      <c r="H22" s="728">
        <f>+landbouw!G8</f>
        <v>0</v>
      </c>
      <c r="I22" s="728">
        <f>+landbouw!H8</f>
        <v>0</v>
      </c>
      <c r="J22" s="728">
        <f>+landbouw!I8</f>
        <v>0</v>
      </c>
      <c r="K22" s="728">
        <f>+landbouw!J8</f>
        <v>317.25782185892274</v>
      </c>
      <c r="L22" s="728">
        <f>+landbouw!K8</f>
        <v>0</v>
      </c>
      <c r="M22" s="728">
        <f>+landbouw!L8</f>
        <v>0</v>
      </c>
      <c r="N22" s="728">
        <f>+landbouw!M8</f>
        <v>0</v>
      </c>
      <c r="O22" s="728">
        <f>+landbouw!N8</f>
        <v>0</v>
      </c>
      <c r="P22" s="728">
        <f>+landbouw!O8</f>
        <v>0</v>
      </c>
      <c r="Q22" s="729">
        <f>+landbouw!P8</f>
        <v>0</v>
      </c>
      <c r="R22" s="730">
        <f>SUM(C22:Q22)</f>
        <v>11350.688191017034</v>
      </c>
      <c r="S22" s="67"/>
    </row>
    <row r="23" spans="1:19" s="475" customFormat="1" ht="17.25" thickTop="1" thickBot="1">
      <c r="A23" s="735" t="s">
        <v>116</v>
      </c>
      <c r="B23" s="865"/>
      <c r="C23" s="736">
        <f ca="1">C20+C15+C22</f>
        <v>35478.208433705091</v>
      </c>
      <c r="D23" s="736">
        <f t="shared" ref="D23:Q23" ca="1" si="2">D20+D15+D22</f>
        <v>3694.4999999999991</v>
      </c>
      <c r="E23" s="736">
        <f t="shared" ca="1" si="2"/>
        <v>29939.328649880241</v>
      </c>
      <c r="F23" s="736">
        <f t="shared" si="2"/>
        <v>2734.2751824906754</v>
      </c>
      <c r="G23" s="736">
        <f t="shared" ca="1" si="2"/>
        <v>34033.671950443677</v>
      </c>
      <c r="H23" s="736">
        <f t="shared" si="2"/>
        <v>43204.236444927294</v>
      </c>
      <c r="I23" s="736">
        <f t="shared" si="2"/>
        <v>8101.2097821470234</v>
      </c>
      <c r="J23" s="736">
        <f t="shared" si="2"/>
        <v>0</v>
      </c>
      <c r="K23" s="736">
        <f t="shared" si="2"/>
        <v>3486.4122042101826</v>
      </c>
      <c r="L23" s="736">
        <f t="shared" si="2"/>
        <v>0</v>
      </c>
      <c r="M23" s="736">
        <f t="shared" ca="1" si="2"/>
        <v>0</v>
      </c>
      <c r="N23" s="736">
        <f t="shared" si="2"/>
        <v>2748.1310752237027</v>
      </c>
      <c r="O23" s="736">
        <f t="shared" ca="1" si="2"/>
        <v>16667.696772422067</v>
      </c>
      <c r="P23" s="736">
        <f t="shared" si="2"/>
        <v>148.51666666666668</v>
      </c>
      <c r="Q23" s="737">
        <f t="shared" si="2"/>
        <v>266.93333333333334</v>
      </c>
      <c r="R23" s="738">
        <f ca="1">R20+R15+R22</f>
        <v>180503.12049544993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1433.1541235702389</v>
      </c>
      <c r="D36" s="719">
        <f ca="1">tertiair!C20</f>
        <v>0</v>
      </c>
      <c r="E36" s="719">
        <f ca="1">tertiair!D20</f>
        <v>2239.8397797543867</v>
      </c>
      <c r="F36" s="719">
        <f>tertiair!E20</f>
        <v>15.81884445238428</v>
      </c>
      <c r="G36" s="719">
        <f ca="1">tertiair!F20</f>
        <v>251.66195280553168</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3940.4747005825416</v>
      </c>
    </row>
    <row r="37" spans="1:18">
      <c r="A37" s="886" t="s">
        <v>225</v>
      </c>
      <c r="B37" s="893"/>
      <c r="C37" s="719">
        <f ca="1">huishoudens!B12</f>
        <v>3824.0105077749722</v>
      </c>
      <c r="D37" s="719">
        <f ca="1">huishoudens!C12</f>
        <v>0</v>
      </c>
      <c r="E37" s="719">
        <f>huishoudens!D12</f>
        <v>3527.4193165690654</v>
      </c>
      <c r="F37" s="719">
        <f>huishoudens!E12</f>
        <v>486.32403762482494</v>
      </c>
      <c r="G37" s="719">
        <f>huishoudens!F12</f>
        <v>5912.7125331345342</v>
      </c>
      <c r="H37" s="719">
        <f>huishoudens!G12</f>
        <v>0</v>
      </c>
      <c r="I37" s="719">
        <f>huishoudens!H12</f>
        <v>0</v>
      </c>
      <c r="J37" s="719">
        <f>huishoudens!I12</f>
        <v>0</v>
      </c>
      <c r="K37" s="719">
        <f>huishoudens!J12</f>
        <v>1100.7280884157251</v>
      </c>
      <c r="L37" s="719">
        <f>huishoudens!K12</f>
        <v>0</v>
      </c>
      <c r="M37" s="719">
        <f>huishoudens!L12</f>
        <v>0</v>
      </c>
      <c r="N37" s="719">
        <f>huishoudens!M12</f>
        <v>0</v>
      </c>
      <c r="O37" s="719">
        <f>huishoudens!N12</f>
        <v>0</v>
      </c>
      <c r="P37" s="719">
        <f>huishoudens!O12</f>
        <v>0</v>
      </c>
      <c r="Q37" s="829">
        <f>huishoudens!P12</f>
        <v>0</v>
      </c>
      <c r="R37" s="918">
        <f ca="1">SUM(C37:Q37)</f>
        <v>14851.194483519121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1748.0270551703084</v>
      </c>
      <c r="D39" s="719">
        <f ca="1">industrie!C22</f>
        <v>0</v>
      </c>
      <c r="E39" s="719">
        <f>industrie!D22</f>
        <v>276.17756615596943</v>
      </c>
      <c r="F39" s="719">
        <f>industrie!E22</f>
        <v>82.982050540463987</v>
      </c>
      <c r="G39" s="719">
        <f>industrie!F22</f>
        <v>1520.7615334456898</v>
      </c>
      <c r="H39" s="719">
        <f>industrie!G22</f>
        <v>0</v>
      </c>
      <c r="I39" s="719">
        <f>industrie!H22</f>
        <v>0</v>
      </c>
      <c r="J39" s="719">
        <f>industrie!I22</f>
        <v>0</v>
      </c>
      <c r="K39" s="719">
        <f>industrie!J22</f>
        <v>21.152562936620772</v>
      </c>
      <c r="L39" s="719">
        <f>industrie!K22</f>
        <v>0</v>
      </c>
      <c r="M39" s="719">
        <f>industrie!L22</f>
        <v>0</v>
      </c>
      <c r="N39" s="719">
        <f>industrie!M22</f>
        <v>0</v>
      </c>
      <c r="O39" s="719">
        <f>industrie!N22</f>
        <v>0</v>
      </c>
      <c r="P39" s="719">
        <f>industrie!O22</f>
        <v>0</v>
      </c>
      <c r="Q39" s="829">
        <f>industrie!P22</f>
        <v>0</v>
      </c>
      <c r="R39" s="919">
        <f ca="1">SUM(C39:Q39)</f>
        <v>3649.1007682490526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7005.1916865155199</v>
      </c>
      <c r="D41" s="764">
        <f t="shared" ref="D41:R41" ca="1" si="4">SUM(D35:D40)</f>
        <v>0</v>
      </c>
      <c r="E41" s="764">
        <f t="shared" ca="1" si="4"/>
        <v>6043.436662479422</v>
      </c>
      <c r="F41" s="764">
        <f t="shared" si="4"/>
        <v>585.12493261767315</v>
      </c>
      <c r="G41" s="764">
        <f t="shared" ca="1" si="4"/>
        <v>7685.1360193857554</v>
      </c>
      <c r="H41" s="764">
        <f t="shared" si="4"/>
        <v>0</v>
      </c>
      <c r="I41" s="764">
        <f t="shared" si="4"/>
        <v>0</v>
      </c>
      <c r="J41" s="764">
        <f t="shared" si="4"/>
        <v>0</v>
      </c>
      <c r="K41" s="764">
        <f t="shared" si="4"/>
        <v>1121.8806513523459</v>
      </c>
      <c r="L41" s="764">
        <f t="shared" si="4"/>
        <v>0</v>
      </c>
      <c r="M41" s="764">
        <f t="shared" ca="1" si="4"/>
        <v>0</v>
      </c>
      <c r="N41" s="764">
        <f t="shared" si="4"/>
        <v>0</v>
      </c>
      <c r="O41" s="764">
        <f t="shared" ca="1" si="4"/>
        <v>0</v>
      </c>
      <c r="P41" s="764">
        <f t="shared" si="4"/>
        <v>0</v>
      </c>
      <c r="Q41" s="765">
        <f t="shared" si="4"/>
        <v>0</v>
      </c>
      <c r="R41" s="766">
        <f t="shared" ca="1" si="4"/>
        <v>22440.769952350714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137.91800169556052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137.91800169556052</v>
      </c>
    </row>
    <row r="45" spans="1:18" ht="15" thickBot="1">
      <c r="A45" s="889" t="s">
        <v>307</v>
      </c>
      <c r="B45" s="899"/>
      <c r="C45" s="728">
        <f ca="1">transport!B18</f>
        <v>1.8242824140796499</v>
      </c>
      <c r="D45" s="728">
        <f>transport!C18</f>
        <v>0</v>
      </c>
      <c r="E45" s="728">
        <f>transport!D18</f>
        <v>4.307724796386915</v>
      </c>
      <c r="F45" s="728">
        <f>transport!E18</f>
        <v>31.204536233067198</v>
      </c>
      <c r="G45" s="728">
        <f>transport!F18</f>
        <v>0</v>
      </c>
      <c r="H45" s="728">
        <f>transport!G18</f>
        <v>11397.613129100027</v>
      </c>
      <c r="I45" s="728">
        <f>transport!H18</f>
        <v>2017.2012357546089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13452.15090829817</v>
      </c>
    </row>
    <row r="46" spans="1:18" ht="15.75" thickBot="1">
      <c r="A46" s="887" t="s">
        <v>230</v>
      </c>
      <c r="B46" s="900"/>
      <c r="C46" s="764">
        <f t="shared" ref="C46:R46" ca="1" si="5">SUM(C43:C45)</f>
        <v>1.8242824140796499</v>
      </c>
      <c r="D46" s="764">
        <f t="shared" ca="1" si="5"/>
        <v>0</v>
      </c>
      <c r="E46" s="764">
        <f t="shared" si="5"/>
        <v>4.307724796386915</v>
      </c>
      <c r="F46" s="764">
        <f t="shared" si="5"/>
        <v>31.204536233067198</v>
      </c>
      <c r="G46" s="764">
        <f t="shared" si="5"/>
        <v>0</v>
      </c>
      <c r="H46" s="764">
        <f t="shared" si="5"/>
        <v>11535.531130795587</v>
      </c>
      <c r="I46" s="764">
        <f t="shared" si="5"/>
        <v>2017.2012357546089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13590.06890999373</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434.02058250155272</v>
      </c>
      <c r="D48" s="719">
        <f ca="1">+landbouw!C12</f>
        <v>863.16806722689068</v>
      </c>
      <c r="E48" s="719">
        <f>+landbouw!D12</f>
        <v>0</v>
      </c>
      <c r="F48" s="719">
        <f>+landbouw!E12</f>
        <v>4.3509975746430305</v>
      </c>
      <c r="G48" s="719">
        <f>+landbouw!F12</f>
        <v>1401.8543913827068</v>
      </c>
      <c r="H48" s="719">
        <f>+landbouw!G12</f>
        <v>0</v>
      </c>
      <c r="I48" s="719">
        <f>+landbouw!H12</f>
        <v>0</v>
      </c>
      <c r="J48" s="719">
        <f>+landbouw!I12</f>
        <v>0</v>
      </c>
      <c r="K48" s="719">
        <f>+landbouw!J12</f>
        <v>112.30926893805865</v>
      </c>
      <c r="L48" s="719">
        <f>+landbouw!K12</f>
        <v>0</v>
      </c>
      <c r="M48" s="719">
        <f>+landbouw!L12</f>
        <v>0</v>
      </c>
      <c r="N48" s="719">
        <f>+landbouw!M12</f>
        <v>0</v>
      </c>
      <c r="O48" s="719">
        <f>+landbouw!N12</f>
        <v>0</v>
      </c>
      <c r="P48" s="719">
        <f>+landbouw!O12</f>
        <v>0</v>
      </c>
      <c r="Q48" s="720">
        <f>+landbouw!P12</f>
        <v>0</v>
      </c>
      <c r="R48" s="762">
        <f ca="1">SUM(C48:Q48)</f>
        <v>2815.7033076238517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7441.0365514311525</v>
      </c>
      <c r="D53" s="774">
        <f t="shared" ref="D53:Q53" ca="1" si="6">D41+D46+D48</f>
        <v>863.16806722689068</v>
      </c>
      <c r="E53" s="774">
        <f t="shared" ca="1" si="6"/>
        <v>6047.7443872758085</v>
      </c>
      <c r="F53" s="774">
        <f t="shared" si="6"/>
        <v>620.68046642538332</v>
      </c>
      <c r="G53" s="774">
        <f t="shared" ca="1" si="6"/>
        <v>9086.9904107684615</v>
      </c>
      <c r="H53" s="774">
        <f t="shared" si="6"/>
        <v>11535.531130795587</v>
      </c>
      <c r="I53" s="774">
        <f t="shared" si="6"/>
        <v>2017.2012357546089</v>
      </c>
      <c r="J53" s="774">
        <f t="shared" si="6"/>
        <v>0</v>
      </c>
      <c r="K53" s="774">
        <f t="shared" si="6"/>
        <v>1234.1899202904046</v>
      </c>
      <c r="L53" s="774">
        <f t="shared" si="6"/>
        <v>0</v>
      </c>
      <c r="M53" s="774">
        <f t="shared" ca="1" si="6"/>
        <v>0</v>
      </c>
      <c r="N53" s="774">
        <f t="shared" si="6"/>
        <v>0</v>
      </c>
      <c r="O53" s="774">
        <f t="shared" ca="1" si="6"/>
        <v>0</v>
      </c>
      <c r="P53" s="774">
        <f>P41+P46+P48</f>
        <v>0</v>
      </c>
      <c r="Q53" s="775">
        <f t="shared" si="6"/>
        <v>0</v>
      </c>
      <c r="R53" s="776">
        <f ca="1">R41+R46+R48</f>
        <v>38846.542169968299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0.20973540885909001</v>
      </c>
      <c r="D55" s="837">
        <f t="shared" ca="1" si="7"/>
        <v>0.23363596352060925</v>
      </c>
      <c r="E55" s="837">
        <f t="shared" ca="1" si="7"/>
        <v>0.20199999999999999</v>
      </c>
      <c r="F55" s="837">
        <f t="shared" si="7"/>
        <v>0.22700000000000001</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1956.2262872239721</v>
      </c>
      <c r="C66" s="796">
        <f>'lokale energieproductie'!B6</f>
        <v>1956.2262872239721</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2586.1499999999996</v>
      </c>
      <c r="C67" s="795">
        <f>B67*IFERROR(SUM(J67:L67)/SUM(D67:M67),0)</f>
        <v>43.649999999999991</v>
      </c>
      <c r="D67" s="827">
        <f>'lokale energieproductie'!C7</f>
        <v>2991.1764705882351</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51.352941176470587</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604.21764705882356</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4542.3762872239713</v>
      </c>
      <c r="C69" s="804">
        <f>SUM(C64:C68)</f>
        <v>1999.8762872239722</v>
      </c>
      <c r="D69" s="805">
        <f t="shared" ref="D69:M69" si="8">SUM(D67:D68)</f>
        <v>2991.1764705882351</v>
      </c>
      <c r="E69" s="805">
        <f t="shared" si="8"/>
        <v>0</v>
      </c>
      <c r="F69" s="805">
        <f t="shared" si="8"/>
        <v>0</v>
      </c>
      <c r="G69" s="805">
        <f t="shared" si="8"/>
        <v>0</v>
      </c>
      <c r="H69" s="805">
        <f t="shared" si="8"/>
        <v>0</v>
      </c>
      <c r="I69" s="805">
        <f t="shared" si="8"/>
        <v>0</v>
      </c>
      <c r="J69" s="805">
        <f t="shared" si="8"/>
        <v>0</v>
      </c>
      <c r="K69" s="805">
        <f t="shared" si="8"/>
        <v>51.352941176470587</v>
      </c>
      <c r="L69" s="805">
        <f t="shared" si="8"/>
        <v>0</v>
      </c>
      <c r="M69" s="931">
        <f t="shared" si="8"/>
        <v>0</v>
      </c>
      <c r="N69" s="806">
        <v>0</v>
      </c>
      <c r="O69" s="806">
        <f>SUM(O67:O68)</f>
        <v>604.21764705882356</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3694.4999999999991</v>
      </c>
      <c r="C78" s="818">
        <f>B78*IFERROR(SUM(I78:L78)/SUM(D78:M78),0)</f>
        <v>62.35714285714284</v>
      </c>
      <c r="D78" s="833">
        <f>'lokale energieproductie'!C16</f>
        <v>4273.1092436974786</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73.361344537815114</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863.16806722689068</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3694.4999999999991</v>
      </c>
      <c r="C81" s="804">
        <f>SUM(C78:C80)</f>
        <v>62.35714285714284</v>
      </c>
      <c r="D81" s="804">
        <f t="shared" ref="D81:P81" si="9">SUM(D78:D80)</f>
        <v>4273.1092436974786</v>
      </c>
      <c r="E81" s="804">
        <f t="shared" si="9"/>
        <v>0</v>
      </c>
      <c r="F81" s="804">
        <f t="shared" si="9"/>
        <v>0</v>
      </c>
      <c r="G81" s="804">
        <f t="shared" si="9"/>
        <v>0</v>
      </c>
      <c r="H81" s="804">
        <f t="shared" si="9"/>
        <v>0</v>
      </c>
      <c r="I81" s="804">
        <f t="shared" si="9"/>
        <v>0</v>
      </c>
      <c r="J81" s="804">
        <f t="shared" si="9"/>
        <v>0</v>
      </c>
      <c r="K81" s="804">
        <f t="shared" si="9"/>
        <v>73.361344537815114</v>
      </c>
      <c r="L81" s="804">
        <f t="shared" si="9"/>
        <v>0</v>
      </c>
      <c r="M81" s="804">
        <f t="shared" si="9"/>
        <v>0</v>
      </c>
      <c r="N81" s="804">
        <v>0</v>
      </c>
      <c r="O81" s="804">
        <f>SUM(O78:O80)</f>
        <v>863.16806722689068</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18232.546085454367</v>
      </c>
      <c r="C4" s="479">
        <f>huishoudens!C8</f>
        <v>0</v>
      </c>
      <c r="D4" s="479">
        <f>huishoudens!D8</f>
        <v>17462.471864203293</v>
      </c>
      <c r="E4" s="479">
        <f>huishoudens!E8</f>
        <v>2142.3966415190525</v>
      </c>
      <c r="F4" s="479">
        <f>huishoudens!F8</f>
        <v>22144.990760803499</v>
      </c>
      <c r="G4" s="479">
        <f>huishoudens!G8</f>
        <v>0</v>
      </c>
      <c r="H4" s="479">
        <f>huishoudens!H8</f>
        <v>0</v>
      </c>
      <c r="I4" s="479">
        <f>huishoudens!I8</f>
        <v>0</v>
      </c>
      <c r="J4" s="479">
        <f>huishoudens!J8</f>
        <v>3109.4013797054386</v>
      </c>
      <c r="K4" s="479">
        <f>huishoudens!K8</f>
        <v>0</v>
      </c>
      <c r="L4" s="479">
        <f>huishoudens!L8</f>
        <v>0</v>
      </c>
      <c r="M4" s="479">
        <f>huishoudens!M8</f>
        <v>0</v>
      </c>
      <c r="N4" s="479">
        <f>huishoudens!N8</f>
        <v>12476.951579086399</v>
      </c>
      <c r="O4" s="479">
        <f>huishoudens!O8</f>
        <v>145.39000000000001</v>
      </c>
      <c r="P4" s="480">
        <f>huishoudens!P8</f>
        <v>247.86666666666667</v>
      </c>
      <c r="Q4" s="481">
        <f>SUM(B4:P4)</f>
        <v>75962.01497743871</v>
      </c>
    </row>
    <row r="5" spans="1:17">
      <c r="A5" s="478" t="s">
        <v>156</v>
      </c>
      <c r="B5" s="479">
        <f ca="1">tertiair!B16</f>
        <v>6217.6349300000002</v>
      </c>
      <c r="C5" s="479">
        <f ca="1">tertiair!C16</f>
        <v>0</v>
      </c>
      <c r="D5" s="479">
        <f ca="1">tertiair!D16</f>
        <v>11088.315741358349</v>
      </c>
      <c r="E5" s="479">
        <f>tertiair!E16</f>
        <v>69.686539437816208</v>
      </c>
      <c r="F5" s="479">
        <f ca="1">tertiair!F16</f>
        <v>942.55413035779657</v>
      </c>
      <c r="G5" s="479">
        <f>tertiair!G16</f>
        <v>0</v>
      </c>
      <c r="H5" s="479">
        <f>tertiair!H16</f>
        <v>0</v>
      </c>
      <c r="I5" s="479">
        <f>tertiair!I16</f>
        <v>0</v>
      </c>
      <c r="J5" s="479">
        <f>tertiair!J16</f>
        <v>0</v>
      </c>
      <c r="K5" s="479">
        <f>tertiair!K16</f>
        <v>0</v>
      </c>
      <c r="L5" s="479">
        <f ca="1">tertiair!L16</f>
        <v>0</v>
      </c>
      <c r="M5" s="479">
        <f>tertiair!M16</f>
        <v>0</v>
      </c>
      <c r="N5" s="479">
        <f ca="1">tertiair!N16</f>
        <v>690.84524151953929</v>
      </c>
      <c r="O5" s="479">
        <f>tertiair!O16</f>
        <v>3.1266666666666669</v>
      </c>
      <c r="P5" s="480">
        <f>tertiair!P16</f>
        <v>19.066666666666666</v>
      </c>
      <c r="Q5" s="478">
        <f t="shared" ref="Q5:Q13" ca="1" si="0">SUM(B5:P5)</f>
        <v>19031.229916006829</v>
      </c>
    </row>
    <row r="6" spans="1:17">
      <c r="A6" s="478" t="s">
        <v>194</v>
      </c>
      <c r="B6" s="479">
        <f>'openbare verlichting'!B8</f>
        <v>615.51800000000003</v>
      </c>
      <c r="C6" s="479"/>
      <c r="D6" s="479"/>
      <c r="E6" s="479"/>
      <c r="F6" s="479"/>
      <c r="G6" s="479"/>
      <c r="H6" s="479"/>
      <c r="I6" s="479"/>
      <c r="J6" s="479"/>
      <c r="K6" s="479"/>
      <c r="L6" s="479"/>
      <c r="M6" s="479"/>
      <c r="N6" s="479"/>
      <c r="O6" s="479"/>
      <c r="P6" s="480"/>
      <c r="Q6" s="478">
        <f t="shared" si="0"/>
        <v>615.51800000000003</v>
      </c>
    </row>
    <row r="7" spans="1:17">
      <c r="A7" s="478" t="s">
        <v>112</v>
      </c>
      <c r="B7" s="479">
        <f>landbouw!B8</f>
        <v>2069.3719999999998</v>
      </c>
      <c r="C7" s="479">
        <f>landbouw!C8</f>
        <v>3694.4999999999991</v>
      </c>
      <c r="D7" s="479">
        <f>landbouw!D8</f>
        <v>0</v>
      </c>
      <c r="E7" s="479">
        <f>landbouw!E8</f>
        <v>19.16739019666533</v>
      </c>
      <c r="F7" s="479">
        <f>landbouw!F8</f>
        <v>5250.3909789614481</v>
      </c>
      <c r="G7" s="479">
        <f>landbouw!G8</f>
        <v>0</v>
      </c>
      <c r="H7" s="479">
        <f>landbouw!H8</f>
        <v>0</v>
      </c>
      <c r="I7" s="479">
        <f>landbouw!I8</f>
        <v>0</v>
      </c>
      <c r="J7" s="479">
        <f>landbouw!J8</f>
        <v>317.25782185892274</v>
      </c>
      <c r="K7" s="479">
        <f>landbouw!K8</f>
        <v>0</v>
      </c>
      <c r="L7" s="479">
        <f>landbouw!L8</f>
        <v>0</v>
      </c>
      <c r="M7" s="479">
        <f>landbouw!M8</f>
        <v>0</v>
      </c>
      <c r="N7" s="479">
        <f>landbouw!N8</f>
        <v>0</v>
      </c>
      <c r="O7" s="479">
        <f>landbouw!O8</f>
        <v>0</v>
      </c>
      <c r="P7" s="480">
        <f>landbouw!P8</f>
        <v>0</v>
      </c>
      <c r="Q7" s="478">
        <f t="shared" si="0"/>
        <v>11350.688191017034</v>
      </c>
    </row>
    <row r="8" spans="1:17">
      <c r="A8" s="478" t="s">
        <v>650</v>
      </c>
      <c r="B8" s="479">
        <f>industrie!B18</f>
        <v>8334.4393999999993</v>
      </c>
      <c r="C8" s="479">
        <f>industrie!C18</f>
        <v>0</v>
      </c>
      <c r="D8" s="479">
        <f>industrie!D18</f>
        <v>1367.2156740394526</v>
      </c>
      <c r="E8" s="479">
        <f>industrie!E18</f>
        <v>365.55969401085457</v>
      </c>
      <c r="F8" s="479">
        <f>industrie!F18</f>
        <v>5695.7360803209349</v>
      </c>
      <c r="G8" s="479">
        <f>industrie!G18</f>
        <v>0</v>
      </c>
      <c r="H8" s="479">
        <f>industrie!H18</f>
        <v>0</v>
      </c>
      <c r="I8" s="479">
        <f>industrie!I18</f>
        <v>0</v>
      </c>
      <c r="J8" s="479">
        <f>industrie!J18</f>
        <v>59.753002645821397</v>
      </c>
      <c r="K8" s="479">
        <f>industrie!K18</f>
        <v>0</v>
      </c>
      <c r="L8" s="479">
        <f>industrie!L18</f>
        <v>0</v>
      </c>
      <c r="M8" s="479">
        <f>industrie!M18</f>
        <v>0</v>
      </c>
      <c r="N8" s="479">
        <f>industrie!N18</f>
        <v>3499.8999518161295</v>
      </c>
      <c r="O8" s="479">
        <f>industrie!O18</f>
        <v>0</v>
      </c>
      <c r="P8" s="480">
        <f>industrie!P18</f>
        <v>0</v>
      </c>
      <c r="Q8" s="478">
        <f t="shared" si="0"/>
        <v>19322.603802833193</v>
      </c>
    </row>
    <row r="9" spans="1:17" s="484" customFormat="1">
      <c r="A9" s="482" t="s">
        <v>571</v>
      </c>
      <c r="B9" s="483">
        <f>transport!B14</f>
        <v>8.6980182507250738</v>
      </c>
      <c r="C9" s="483"/>
      <c r="D9" s="483">
        <f>transport!D14</f>
        <v>21.32537027914314</v>
      </c>
      <c r="E9" s="483">
        <f>transport!E14</f>
        <v>137.46491732628721</v>
      </c>
      <c r="F9" s="483"/>
      <c r="G9" s="483">
        <f>transport!G14</f>
        <v>42687.689622097481</v>
      </c>
      <c r="H9" s="483">
        <f>transport!H14</f>
        <v>8101.2097821470234</v>
      </c>
      <c r="I9" s="483"/>
      <c r="J9" s="483"/>
      <c r="K9" s="483"/>
      <c r="L9" s="483"/>
      <c r="M9" s="483">
        <f>transport!M14</f>
        <v>2718.6739157330508</v>
      </c>
      <c r="N9" s="483"/>
      <c r="O9" s="483"/>
      <c r="P9" s="483"/>
      <c r="Q9" s="482">
        <f>SUM(B9:P9)</f>
        <v>53675.06162583371</v>
      </c>
    </row>
    <row r="10" spans="1:17">
      <c r="A10" s="478" t="s">
        <v>561</v>
      </c>
      <c r="B10" s="479">
        <f>transport!B54</f>
        <v>0</v>
      </c>
      <c r="C10" s="479"/>
      <c r="D10" s="479">
        <f>transport!D54</f>
        <v>0</v>
      </c>
      <c r="E10" s="479"/>
      <c r="F10" s="479"/>
      <c r="G10" s="479">
        <f>transport!G54</f>
        <v>516.54682282981469</v>
      </c>
      <c r="H10" s="479"/>
      <c r="I10" s="479"/>
      <c r="J10" s="479"/>
      <c r="K10" s="479"/>
      <c r="L10" s="479"/>
      <c r="M10" s="479">
        <f>transport!M54</f>
        <v>29.457159490652021</v>
      </c>
      <c r="N10" s="479"/>
      <c r="O10" s="479"/>
      <c r="P10" s="480"/>
      <c r="Q10" s="478">
        <f t="shared" si="0"/>
        <v>546.00398232046666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35478.208433705091</v>
      </c>
      <c r="C14" s="489">
        <f t="shared" ref="C14:Q14" ca="1" si="1">SUM(C4:C13)</f>
        <v>3694.4999999999991</v>
      </c>
      <c r="D14" s="489">
        <f t="shared" ca="1" si="1"/>
        <v>29939.328649880241</v>
      </c>
      <c r="E14" s="489">
        <f t="shared" si="1"/>
        <v>2734.2751824906754</v>
      </c>
      <c r="F14" s="489">
        <f t="shared" ca="1" si="1"/>
        <v>34033.671950443677</v>
      </c>
      <c r="G14" s="489">
        <f t="shared" si="1"/>
        <v>43204.236444927294</v>
      </c>
      <c r="H14" s="489">
        <f t="shared" si="1"/>
        <v>8101.2097821470234</v>
      </c>
      <c r="I14" s="489">
        <f t="shared" si="1"/>
        <v>0</v>
      </c>
      <c r="J14" s="489">
        <f t="shared" si="1"/>
        <v>3486.4122042101826</v>
      </c>
      <c r="K14" s="489">
        <f t="shared" si="1"/>
        <v>0</v>
      </c>
      <c r="L14" s="489">
        <f t="shared" ca="1" si="1"/>
        <v>0</v>
      </c>
      <c r="M14" s="489">
        <f t="shared" si="1"/>
        <v>2748.1310752237027</v>
      </c>
      <c r="N14" s="489">
        <f t="shared" ca="1" si="1"/>
        <v>16667.696772422067</v>
      </c>
      <c r="O14" s="489">
        <f t="shared" si="1"/>
        <v>148.51666666666668</v>
      </c>
      <c r="P14" s="490">
        <f t="shared" si="1"/>
        <v>266.93333333333334</v>
      </c>
      <c r="Q14" s="490">
        <f t="shared" ca="1" si="1"/>
        <v>180503.12049544996</v>
      </c>
    </row>
    <row r="16" spans="1:17">
      <c r="A16" s="492" t="s">
        <v>566</v>
      </c>
      <c r="B16" s="842">
        <f ca="1">huishoudens!B10</f>
        <v>0.20973540885908998</v>
      </c>
      <c r="C16" s="842">
        <f ca="1">huishoudens!C10</f>
        <v>0.23363596352060925</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3824.0105077749722</v>
      </c>
      <c r="C21" s="479">
        <f t="shared" ref="C21:C28" ca="1" si="3">C4*$C$16</f>
        <v>0</v>
      </c>
      <c r="D21" s="479">
        <f t="shared" ref="D21:D30" si="4">D4*$D$16</f>
        <v>3527.4193165690654</v>
      </c>
      <c r="E21" s="479">
        <f t="shared" ref="E21:E30" si="5">E4*$E$16</f>
        <v>486.32403762482494</v>
      </c>
      <c r="F21" s="479">
        <f t="shared" ref="F21:F28" si="6">F4*$F$16</f>
        <v>5912.7125331345342</v>
      </c>
      <c r="G21" s="479">
        <f t="shared" ref="G21:G30" si="7">G4*$G$16</f>
        <v>0</v>
      </c>
      <c r="H21" s="479">
        <f t="shared" ref="H21:H30" si="8">H4*$H$16</f>
        <v>0</v>
      </c>
      <c r="I21" s="479">
        <f t="shared" ref="I21:I28" si="9">I4*$I$16</f>
        <v>0</v>
      </c>
      <c r="J21" s="479">
        <f t="shared" ref="J21:J28" si="10">J4*$J$16</f>
        <v>1100.7280884157251</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14851.194483519121</v>
      </c>
    </row>
    <row r="22" spans="1:17">
      <c r="A22" s="478" t="s">
        <v>156</v>
      </c>
      <c r="B22" s="479">
        <f t="shared" ca="1" si="2"/>
        <v>1304.0582041801094</v>
      </c>
      <c r="C22" s="479">
        <f t="shared" ca="1" si="3"/>
        <v>0</v>
      </c>
      <c r="D22" s="479">
        <f t="shared" ca="1" si="4"/>
        <v>2239.8397797543867</v>
      </c>
      <c r="E22" s="479">
        <f t="shared" si="5"/>
        <v>15.81884445238428</v>
      </c>
      <c r="F22" s="479">
        <f t="shared" ca="1" si="6"/>
        <v>251.66195280553168</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3811.3787811924121</v>
      </c>
    </row>
    <row r="23" spans="1:17">
      <c r="A23" s="478" t="s">
        <v>194</v>
      </c>
      <c r="B23" s="479">
        <f t="shared" ca="1" si="2"/>
        <v>129.09591939012935</v>
      </c>
      <c r="C23" s="479"/>
      <c r="D23" s="479"/>
      <c r="E23" s="479"/>
      <c r="F23" s="479"/>
      <c r="G23" s="479"/>
      <c r="H23" s="479"/>
      <c r="I23" s="479"/>
      <c r="J23" s="479"/>
      <c r="K23" s="479"/>
      <c r="L23" s="479"/>
      <c r="M23" s="479"/>
      <c r="N23" s="479"/>
      <c r="O23" s="479"/>
      <c r="P23" s="480"/>
      <c r="Q23" s="478">
        <f t="shared" ca="1" si="17"/>
        <v>129.09591939012935</v>
      </c>
    </row>
    <row r="24" spans="1:17">
      <c r="A24" s="478" t="s">
        <v>112</v>
      </c>
      <c r="B24" s="479">
        <f t="shared" ca="1" si="2"/>
        <v>434.02058250155272</v>
      </c>
      <c r="C24" s="479">
        <f t="shared" ca="1" si="3"/>
        <v>863.16806722689068</v>
      </c>
      <c r="D24" s="479">
        <f t="shared" si="4"/>
        <v>0</v>
      </c>
      <c r="E24" s="479">
        <f t="shared" si="5"/>
        <v>4.3509975746430305</v>
      </c>
      <c r="F24" s="479">
        <f t="shared" si="6"/>
        <v>1401.8543913827068</v>
      </c>
      <c r="G24" s="479">
        <f t="shared" si="7"/>
        <v>0</v>
      </c>
      <c r="H24" s="479">
        <f t="shared" si="8"/>
        <v>0</v>
      </c>
      <c r="I24" s="479">
        <f t="shared" si="9"/>
        <v>0</v>
      </c>
      <c r="J24" s="479">
        <f t="shared" si="10"/>
        <v>112.30926893805865</v>
      </c>
      <c r="K24" s="479">
        <f t="shared" si="11"/>
        <v>0</v>
      </c>
      <c r="L24" s="479">
        <f t="shared" si="12"/>
        <v>0</v>
      </c>
      <c r="M24" s="479">
        <f t="shared" si="13"/>
        <v>0</v>
      </c>
      <c r="N24" s="479">
        <f t="shared" si="14"/>
        <v>0</v>
      </c>
      <c r="O24" s="479">
        <f t="shared" si="15"/>
        <v>0</v>
      </c>
      <c r="P24" s="480">
        <f t="shared" si="16"/>
        <v>0</v>
      </c>
      <c r="Q24" s="478">
        <f t="shared" ca="1" si="17"/>
        <v>2815.7033076238517</v>
      </c>
    </row>
    <row r="25" spans="1:17">
      <c r="A25" s="478" t="s">
        <v>650</v>
      </c>
      <c r="B25" s="479">
        <f t="shared" ca="1" si="2"/>
        <v>1748.0270551703084</v>
      </c>
      <c r="C25" s="479">
        <f t="shared" ca="1" si="3"/>
        <v>0</v>
      </c>
      <c r="D25" s="479">
        <f t="shared" si="4"/>
        <v>276.17756615596943</v>
      </c>
      <c r="E25" s="479">
        <f t="shared" si="5"/>
        <v>82.982050540463987</v>
      </c>
      <c r="F25" s="479">
        <f t="shared" si="6"/>
        <v>1520.7615334456898</v>
      </c>
      <c r="G25" s="479">
        <f t="shared" si="7"/>
        <v>0</v>
      </c>
      <c r="H25" s="479">
        <f t="shared" si="8"/>
        <v>0</v>
      </c>
      <c r="I25" s="479">
        <f t="shared" si="9"/>
        <v>0</v>
      </c>
      <c r="J25" s="479">
        <f t="shared" si="10"/>
        <v>21.152562936620772</v>
      </c>
      <c r="K25" s="479">
        <f t="shared" si="11"/>
        <v>0</v>
      </c>
      <c r="L25" s="479">
        <f t="shared" si="12"/>
        <v>0</v>
      </c>
      <c r="M25" s="479">
        <f t="shared" si="13"/>
        <v>0</v>
      </c>
      <c r="N25" s="479">
        <f t="shared" si="14"/>
        <v>0</v>
      </c>
      <c r="O25" s="479">
        <f t="shared" si="15"/>
        <v>0</v>
      </c>
      <c r="P25" s="480">
        <f t="shared" si="16"/>
        <v>0</v>
      </c>
      <c r="Q25" s="478">
        <f t="shared" ca="1" si="17"/>
        <v>3649.1007682490526</v>
      </c>
    </row>
    <row r="26" spans="1:17" s="484" customFormat="1">
      <c r="A26" s="482" t="s">
        <v>571</v>
      </c>
      <c r="B26" s="836">
        <f t="shared" ca="1" si="2"/>
        <v>1.8242824140796499</v>
      </c>
      <c r="C26" s="483"/>
      <c r="D26" s="483">
        <f t="shared" si="4"/>
        <v>4.307724796386915</v>
      </c>
      <c r="E26" s="483">
        <f t="shared" si="5"/>
        <v>31.204536233067198</v>
      </c>
      <c r="F26" s="483"/>
      <c r="G26" s="483">
        <f t="shared" si="7"/>
        <v>11397.613129100027</v>
      </c>
      <c r="H26" s="483">
        <f t="shared" si="8"/>
        <v>2017.2012357546089</v>
      </c>
      <c r="I26" s="483"/>
      <c r="J26" s="483"/>
      <c r="K26" s="483"/>
      <c r="L26" s="483"/>
      <c r="M26" s="483">
        <f t="shared" si="13"/>
        <v>0</v>
      </c>
      <c r="N26" s="483"/>
      <c r="O26" s="483"/>
      <c r="P26" s="494"/>
      <c r="Q26" s="482">
        <f t="shared" ca="1" si="17"/>
        <v>13452.15090829817</v>
      </c>
    </row>
    <row r="27" spans="1:17">
      <c r="A27" s="478" t="s">
        <v>561</v>
      </c>
      <c r="B27" s="479">
        <f t="shared" ca="1" si="2"/>
        <v>0</v>
      </c>
      <c r="C27" s="479"/>
      <c r="D27" s="483">
        <f t="shared" si="4"/>
        <v>0</v>
      </c>
      <c r="E27" s="479"/>
      <c r="F27" s="479"/>
      <c r="G27" s="479">
        <f t="shared" si="7"/>
        <v>137.91800169556052</v>
      </c>
      <c r="H27" s="479"/>
      <c r="I27" s="479"/>
      <c r="J27" s="479"/>
      <c r="K27" s="479"/>
      <c r="L27" s="479"/>
      <c r="M27" s="479">
        <f t="shared" si="13"/>
        <v>0</v>
      </c>
      <c r="N27" s="479"/>
      <c r="O27" s="479"/>
      <c r="P27" s="480"/>
      <c r="Q27" s="478">
        <f t="shared" ca="1" si="17"/>
        <v>137.91800169556052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7441.0365514311525</v>
      </c>
      <c r="C31" s="489">
        <f t="shared" ca="1" si="18"/>
        <v>863.16806722689068</v>
      </c>
      <c r="D31" s="489">
        <f t="shared" ca="1" si="18"/>
        <v>6047.7443872758085</v>
      </c>
      <c r="E31" s="489">
        <f t="shared" si="18"/>
        <v>620.68046642538343</v>
      </c>
      <c r="F31" s="489">
        <f t="shared" ca="1" si="18"/>
        <v>9086.9904107684633</v>
      </c>
      <c r="G31" s="489">
        <f t="shared" si="18"/>
        <v>11535.531130795587</v>
      </c>
      <c r="H31" s="489">
        <f t="shared" si="18"/>
        <v>2017.2012357546089</v>
      </c>
      <c r="I31" s="489">
        <f t="shared" si="18"/>
        <v>0</v>
      </c>
      <c r="J31" s="489">
        <f t="shared" si="18"/>
        <v>1234.1899202904046</v>
      </c>
      <c r="K31" s="489">
        <f t="shared" si="18"/>
        <v>0</v>
      </c>
      <c r="L31" s="489">
        <f t="shared" ca="1" si="18"/>
        <v>0</v>
      </c>
      <c r="M31" s="489">
        <f t="shared" si="18"/>
        <v>0</v>
      </c>
      <c r="N31" s="489">
        <f t="shared" ca="1" si="18"/>
        <v>0</v>
      </c>
      <c r="O31" s="489">
        <f t="shared" si="18"/>
        <v>0</v>
      </c>
      <c r="P31" s="490">
        <f t="shared" si="18"/>
        <v>0</v>
      </c>
      <c r="Q31" s="490">
        <f t="shared" ca="1" si="18"/>
        <v>38846.542169968292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0.20973540885908998</v>
      </c>
      <c r="C17" s="529">
        <f ca="1">'EF ele_warmte'!B22</f>
        <v>0.23363596352060925</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1</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19.066666666666666</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0.20973540885908998</v>
      </c>
      <c r="C17" s="529">
        <f ca="1">'EF ele_warmte'!B22</f>
        <v>0.23363596352060925</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0.20973540885908998</v>
      </c>
      <c r="C29" s="530">
        <f ca="1">'EF ele_warmte'!B22</f>
        <v>0.23363596352060925</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2019-01-01T21:33:36Z</dcterms:modified>
</cp:coreProperties>
</file>