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J15" i="16"/>
  <c r="B8" i="9"/>
  <c r="B6" i="48" s="1"/>
  <c r="Q6" s="1"/>
  <c r="F16" i="16"/>
  <c r="D13" i="15"/>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N7" l="1"/>
  <c r="N24" s="1"/>
  <c r="G14" i="22"/>
  <c r="G9" i="48"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29" i="20"/>
  <c r="Q5" i="48"/>
  <c r="O13" i="14"/>
  <c r="O15" s="1"/>
  <c r="F22" i="16"/>
  <c r="G39" i="14" s="1"/>
  <c r="G41" s="1"/>
  <c r="N22" i="16"/>
  <c r="O39" i="14" s="1"/>
  <c r="O41" s="1"/>
  <c r="F8" i="48"/>
  <c r="Q4"/>
  <c r="N22"/>
  <c r="R11" i="14"/>
  <c r="J21" i="48"/>
  <c r="C10" i="13" l="1"/>
  <c r="C16" i="48" s="1"/>
  <c r="C21" s="1"/>
  <c r="C18" i="15"/>
  <c r="C20" s="1"/>
  <c r="D36" i="14" s="1"/>
  <c r="C20" i="16"/>
  <c r="C22" s="1"/>
  <c r="D39" i="14" s="1"/>
  <c r="C17" i="19"/>
  <c r="C19" s="1"/>
  <c r="D35" i="14" s="1"/>
  <c r="C17" i="49"/>
  <c r="C56" i="22"/>
  <c r="C58" s="1"/>
  <c r="D44" i="14" s="1"/>
  <c r="D46"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R13"/>
  <c r="R15" s="1"/>
  <c r="F25" i="48"/>
  <c r="F31" s="1"/>
  <c r="F14"/>
  <c r="C12" i="13" l="1"/>
  <c r="D37" i="14" s="1"/>
  <c r="D41" s="1"/>
  <c r="D53" s="1"/>
  <c r="D55" s="1"/>
  <c r="C24" i="48"/>
  <c r="C2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<sst xmlns="http://schemas.openxmlformats.org/spreadsheetml/2006/main" count="2209" uniqueCount="905">
  <si>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</si>
  <si>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</si>
  <si>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</si>
  <si>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</si>
  <si>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</si>
  <si>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</si>
  <si>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</si>
  <si>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</si>
  <si>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</si>
  <si>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</si>
  <si>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</si>
  <si>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</si>
  <si>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</si>
  <si>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</si>
  <si>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</si>
  <si>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</si>
  <si>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</si>
  <si>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</si>
  <si>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</si>
  <si>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</si>
  <si>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</si>
  <si>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</si>
  <si>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</si>
  <si>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</si>
  <si>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</si>
  <si>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</si>
  <si>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</si>
  <si>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</si>
  <si>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</si>
  <si>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</si>
  <si>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</si>
  <si>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</si>
  <si>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</si>
  <si>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</si>
  <si>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</si>
  <si>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</si>
  <si>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</si>
  <si>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</si>
  <si>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</si>
  <si>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</si>
  <si>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</si>
  <si>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</si>
  <si>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</si>
  <si>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</si>
  <si>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</si>
  <si>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</si>
  <si>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</si>
  <si>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</si>
  <si>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</si>
  <si>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</si>
  <si>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</si>
  <si>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</si>
  <si>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</si>
  <si>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</si>
  <si>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</si>
  <si>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</si>
  <si>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</si>
  <si>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</si>
  <si>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</si>
  <si>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</si>
  <si>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</si>
  <si>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</si>
  <si>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</si>
  <si>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</si>
  <si>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</si>
  <si>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</si>
  <si>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</si>
  <si>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</si>
  <si>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</si>
  <si>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</si>
  <si>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</si>
  <si>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</si>
  <si>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</si>
  <si>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</si>
  <si>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</si>
  <si>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</si>
  <si>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</si>
  <si>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</si>
  <si>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</si>
  <si>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</si>
  <si>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</si>
  <si>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</si>
  <si>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</si>
  <si>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</si>
  <si>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</si>
  <si>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</si>
  <si>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</si>
  <si>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</si>
  <si>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</si>
  <si>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</si>
  <si>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</si>
  <si>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</si>
  <si>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</si>
  <si>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</si>
  <si>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</si>
  <si>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</si>
  <si>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</si>
  <si>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</si>
  <si>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</si>
  <si>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</si>
  <si>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</si>
  <si>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</si>
  <si>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</si>
  <si>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</si>
  <si>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</si>
  <si>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</si>
  <si>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</si>
  <si>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</si>
  <si>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</si>
  <si>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</si>
  <si>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</si>
  <si>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</si>
  <si>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</si>
  <si>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</si>
  <si>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</si>
  <si>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</si>
  <si>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</si>
  <si>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</si>
  <si>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</si>
  <si>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</si>
  <si>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</si>
  <si>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</si>
  <si>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</si>
  <si>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</si>
  <si>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</si>
  <si>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</si>
  <si>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</si>
  <si>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</si>
  <si>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</si>
  <si>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</si>
  <si>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</si>
  <si>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</si>
  <si>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</si>
  <si>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</si>
  <si>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</si>
  <si>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</si>
  <si>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</si>
  <si>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</si>
  <si>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</si>
  <si>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</si>
  <si>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</si>
  <si>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</si>
  <si>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</si>
  <si>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</si>
  <si>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</si>
  <si>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</si>
  <si>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</si>
  <si>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</si>
  <si>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</si>
  <si>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</si>
  <si>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</si>
  <si>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</si>
  <si>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</si>
  <si>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</si>
  <si>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</si>
  <si>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</si>
  <si>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</si>
  <si>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</si>
  <si>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</si>
  <si>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</si>
  <si>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</si>
  <si>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</si>
  <si>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</si>
  <si>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</si>
  <si>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</si>
  <si>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</si>
  <si>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</si>
  <si>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</si>
  <si>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</si>
  <si>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</si>
  <si>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</si>
  <si>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</si>
  <si>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</si>
  <si>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</si>
  <si>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</si>
  <si>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</si>
  <si>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</si>
  <si>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</si>
  <si>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</si>
  <si>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</si>
  <si>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</si>
  <si>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</si>
  <si>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</si>
  <si>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</si>
  <si>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</si>
  <si>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</si>
  <si>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</si>
  <si>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</si>
  <si>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</si>
  <si>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</si>
  <si>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</si>
  <si>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</si>
  <si>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</si>
  <si>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</si>
  <si>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</si>
  <si>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</si>
  <si>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</si>
  <si>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</si>
  <si>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</si>
  <si>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</si>
  <si>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</si>
  <si>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</si>
  <si>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</si>
  <si>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</si>
  <si>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</si>
  <si>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</si>
  <si>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</si>
  <si>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</si>
  <si>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</si>
  <si>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</si>
  <si>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</si>
  <si>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</si>
  <si>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</si>
  <si>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</si>
  <si>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</si>
  <si>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</si>
  <si>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</si>
  <si>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</si>
  <si>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</si>
  <si>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</si>
  <si>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</si>
  <si>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</si>
  <si>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</si>
  <si>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</si>
  <si>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</si>
  <si>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</si>
  <si>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</si>
  <si>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</si>
  <si>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</si>
  <si>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</si>
  <si>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</si>
  <si>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</si>
  <si>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</si>
  <si>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</si>
  <si>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</si>
  <si>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</si>
  <si>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</si>
  <si>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</si>
  <si>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</si>
  <si>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</si>
  <si>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</si>
  <si>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</si>
  <si>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</si>
  <si>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</si>
  <si>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</si>
  <si>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</si>
  <si>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</si>
  <si>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</si>
  <si>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</si>
  <si>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</si>
  <si>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</si>
  <si>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</si>
  <si>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</si>
  <si>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</si>
  <si>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</si>
  <si>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</si>
  <si>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</si>
  <si>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</si>
  <si>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</si>
  <si>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</si>
  <si>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</si>
  <si>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</si>
  <si>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</si>
  <si>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</si>
  <si>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</si>
  <si>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</si>
  <si>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</si>
  <si>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</si>
  <si>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</si>
  <si>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</si>
  <si>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</si>
  <si>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</si>
  <si>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</si>
  <si>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</si>
  <si>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</si>
  <si>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</si>
  <si>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</si>
  <si>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</si>
  <si>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</si>
  <si>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</si>
  <si>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</si>
  <si>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</si>
  <si>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</si>
  <si>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</si>
  <si>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</si>
  <si>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</si>
  <si>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</si>
  <si>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</si>
  <si>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</si>
  <si>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</si>
  <si>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</si>
  <si>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</si>
  <si>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</si>
  <si>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</si>
  <si>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</si>
  <si>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</si>
  <si>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</si>
  <si>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</si>
  <si>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</si>
  <si>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</si>
  <si>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</si>
  <si>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</si>
  <si>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</si>
  <si>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</si>
  <si>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</si>
  <si>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</si>
  <si>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</si>
  <si>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</si>
  <si>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</si>
  <si>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</si>
  <si>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</si>
  <si>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</si>
  <si>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</si>
  <si>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</si>
  <si>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</si>
  <si>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</si>
  <si>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</si>
  <si>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</si>
  <si>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</si>
  <si>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</si>
  <si>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</si>
  <si>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</si>
  <si>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</si>
  <si>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</si>
  <si>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</si>
  <si>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</si>
  <si>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</si>
  <si>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</si>
  <si>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</si>
  <si>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</si>
  <si>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</si>
  <si>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</si>
  <si>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</si>
  <si>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</si>
  <si>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</si>
  <si>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</si>
  <si>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</si>
  <si>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</si>
  <si>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</si>
  <si>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</si>
  <si>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</si>
  <si>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</si>
  <si>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</si>
  <si>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</si>
  <si>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</si>
  <si>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</si>
  <si>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</si>
  <si>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</si>
  <si>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</si>
  <si>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</si>
  <si>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</si>
  <si>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</si>
  <si>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</si>
  <si>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</si>
  <si>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</si>
  <si>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</si>
  <si>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</si>
  <si>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</si>
  <si>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</si>
  <si>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</si>
  <si>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</si>
  <si>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</si>
  <si>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</si>
  <si>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</si>
  <si>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</si>
  <si>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</si>
  <si>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</si>
  <si>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</si>
  <si>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</si>
  <si>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</si>
  <si>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</si>
  <si>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</si>
  <si>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</si>
  <si>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</si>
  <si>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</si>
  <si>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</si>
  <si>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</si>
  <si>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</si>
  <si>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</si>
  <si>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</si>
  <si>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</si>
  <si>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</si>
  <si>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</si>
  <si>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</si>
  <si>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</si>
  <si>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</si>
  <si>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</si>
  <si>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</si>
  <si>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</si>
  <si>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</si>
  <si>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</si>
  <si>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</si>
  <si>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</si>
  <si>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</si>
  <si>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</si>
  <si>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</si>
  <si>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</si>
  <si>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</si>
  <si>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</si>
  <si>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</si>
  <si>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</si>
  <si>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</si>
  <si>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</si>
  <si>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</si>
  <si>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</si>
  <si>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</si>
  <si>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</si>
  <si>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</si>
  <si>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</si>
  <si>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</si>
  <si>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</si>
  <si>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</si>
  <si>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</si>
  <si>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</si>
  <si>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</si>
  <si>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</si>
  <si>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</si>
  <si>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</si>
  <si>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</si>
  <si>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</si>
  <si>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</si>
  <si>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</si>
  <si>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</si>
  <si>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</si>
  <si>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</si>
  <si>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</si>
  <si>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</si>
  <si>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</si>
  <si>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</si>
  <si>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</si>
  <si>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</si>
  <si>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</si>
  <si>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</si>
  <si>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</si>
  <si>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</si>
  <si>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</si>
  <si>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</si>
  <si>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</si>
  <si>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</si>
  <si>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</si>
  <si>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</si>
  <si>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</si>
  <si>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</si>
  <si>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</si>
  <si>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</si>
  <si>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</si>
  <si>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</si>
  <si>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</si>
  <si>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</si>
  <si>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</si>
  <si>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</si>
  <si>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</si>
  <si>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</si>
  <si>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</si>
  <si>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</si>
  <si>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</si>
  <si>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</si>
  <si>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</si>
  <si>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</si>
  <si>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</si>
  <si>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</si>
  <si>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</si>
  <si>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</si>
  <si>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</si>
  <si>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</si>
  <si>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</si>
  <si>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</si>
  <si>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</si>
  <si>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</si>
  <si>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</si>
  <si>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</si>
  <si>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</si>
  <si>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</si>
  <si>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</si>
  <si>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</si>
  <si>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</si>
  <si>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</si>
  <si>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</si>
  <si>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</si>
  <si>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</si>
  <si>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</si>
  <si>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</si>
  <si>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</si>
  <si>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</si>
  <si>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</si>
  <si>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</si>
  <si>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</si>
  <si>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</si>
  <si>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</si>
  <si>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</si>
  <si>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</si>
  <si>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</si>
  <si>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</si>
  <si>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</si>
  <si>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</si>
  <si>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</si>
  <si>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</si>
  <si>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</si>
  <si>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</si>
  <si>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</si>
  <si>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</si>
  <si>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</si>
  <si>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</si>
  <si>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</si>
  <si>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</si>
  <si>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</si>
  <si>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</si>
  <si>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</si>
  <si>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</si>
  <si>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</si>
  <si>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</si>
  <si>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</si>
  <si>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</si>
  <si>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</si>
  <si>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</si>
  <si>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</si>
  <si>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</si>
  <si>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</si>
  <si>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</si>
  <si>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</si>
  <si>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</si>
  <si>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</si>
  <si>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</si>
  <si>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</si>
  <si>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</si>
  <si>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</si>
  <si>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</si>
  <si>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</si>
  <si>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</si>
  <si>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</si>
  <si>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</si>
  <si>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</si>
  <si>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</si>
  <si>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</si>
  <si>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</si>
  <si>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</si>
  <si>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</si>
  <si>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</si>
  <si>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</si>
  <si>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</si>
  <si>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</si>
  <si>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</si>
  <si>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</si>
  <si>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</si>
  <si>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</si>
  <si>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</si>
  <si>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</si>
  <si>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</si>
  <si>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</si>
  <si>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</si>
  <si>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</si>
  <si>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</si>
  <si>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</si>
  <si>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</si>
  <si>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</si>
  <si>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</si>
  <si>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</si>
  <si>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</si>
  <si>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</si>
  <si>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</si>
  <si>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</si>
  <si>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</si>
  <si>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</si>
  <si>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</si>
  <si>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</si>
  <si>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</si>
  <si>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</si>
  <si>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</si>
  <si>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</si>
  <si>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</si>
  <si>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</si>
  <si>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</si>
  <si>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</si>
  <si>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</si>
  <si>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</si>
  <si>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</si>
  <si>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</si>
  <si>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</si>
  <si>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</si>
  <si>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</si>
  <si>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</si>
  <si>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</si>
  <si>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</si>
  <si>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</si>
  <si>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</si>
  <si>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</si>
  <si>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</si>
  <si>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</si>
  <si>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</si>
  <si>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</si>
  <si>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</si>
  <si>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</si>
  <si>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</si>
  <si>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</si>
  <si>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</si>
  <si>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</si>
  <si>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</si>
  <si>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</si>
  <si>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</si>
  <si>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</si>
  <si>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</si>
  <si>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</si>
  <si>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</si>
  <si>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</si>
  <si>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</si>
  <si>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</si>
  <si>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</si>
  <si>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</si>
  <si>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</si>
  <si>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</si>
  <si>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</si>
  <si>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</si>
  <si>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</si>
  <si>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</si>
  <si>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</si>
  <si>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</si>
  <si>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</si>
  <si>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</si>
  <si>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</si>
  <si>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</si>
  <si>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</si>
  <si>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</si>
  <si>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</si>
  <si>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</si>
  <si>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</si>
  <si>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</si>
  <si>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</si>
  <si>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</si>
  <si>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</si>
  <si>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</si>
  <si>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</si>
  <si>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</si>
  <si>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</si>
  <si>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</si>
  <si>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</si>
  <si>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</si>
  <si>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</si>
  <si>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</si>
  <si>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</si>
  <si>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</si>
  <si>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</si>
  <si>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</si>
  <si>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</si>
  <si>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</si>
  <si>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</si>
  <si>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</si>
  <si>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</si>
  <si>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</si>
  <si>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</si>
  <si>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</si>
  <si>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</si>
  <si>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</si>
  <si>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</si>
  <si>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</si>
  <si>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</si>
  <si>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</si>
  <si>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</si>
  <si>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</si>
  <si>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</si>
  <si>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</si>
  <si>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</si>
  <si>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</si>
  <si>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</si>
  <si>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</si>
  <si>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</si>
  <si>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</si>
  <si>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</si>
  <si>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</si>
  <si>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</si>
  <si>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</si>
  <si>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</si>
  <si>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</si>
  <si>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</si>
  <si>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</si>
  <si>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</si>
  <si>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</si>
  <si>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</si>
  <si>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</si>
  <si>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</si>
  <si>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</si>
  <si>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</si>
  <si>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</si>
  <si>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</si>
  <si>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</si>
  <si>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</si>
  <si>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</si>
  <si>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</si>
  <si>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</si>
  <si>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</si>
  <si>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</si>
  <si>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</si>
  <si>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</si>
  <si>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</si>
  <si>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</si>
  <si>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</si>
  <si>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</si>
  <si>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</si>
  <si>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</si>
  <si>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</si>
  <si>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</si>
  <si>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</si>
  <si>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</si>
  <si>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</si>
  <si>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</si>
  <si>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</si>
  <si>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</si>
  <si>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</si>
  <si>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</si>
  <si>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</si>
  <si>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</si>
  <si>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</si>
  <si>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</si>
  <si>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</si>
  <si>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</si>
  <si>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</si>
  <si>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</si>
  <si>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</si>
  <si>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</si>
  <si>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</si>
  <si>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</si>
  <si>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</si>
  <si>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</si>
  <si>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</si>
  <si>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</si>
  <si>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</si>
  <si>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</si>
  <si>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</si>
  <si>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</si>
  <si>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</si>
  <si>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</si>
  <si>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</si>
  <si>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</si>
  <si>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</si>
  <si>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</si>
  <si>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</si>
  <si>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</si>
  <si>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</si>
  <si>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</si>
  <si>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</si>
  <si>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</si>
  <si>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</si>
  <si>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</si>
  <si>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</si>
  <si>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</si>
  <si>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</si>
  <si>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</si>
  <si>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</si>
  <si>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</si>
  <si>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</si>
  <si>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</si>
  <si>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</si>
  <si>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</si>
  <si>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</si>
  <si>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</si>
  <si>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</si>
  <si>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</si>
  <si>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</si>
  <si>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</si>
  <si>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</si>
  <si>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</si>
  <si>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</si>
  <si>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</si>
  <si>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</si>
  <si>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</si>
  <si>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</si>
  <si>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</si>
  <si>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</si>
  <si>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</si>
  <si>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</si>
  <si>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</si>
  <si>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</si>
  <si>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</si>
  <si>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</si>
  <si>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</si>
  <si>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</si>
  <si>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</si>
  <si>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</si>
  <si>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</si>
  <si>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</si>
  <si>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</si>
  <si>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</si>
  <si>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</si>
  <si>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</si>
  <si>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</si>
  <si>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</si>
  <si>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</si>
  <si>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</si>
  <si>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</si>
  <si>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</si>
  <si>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</si>
  <si>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</si>
  <si>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</si>
  <si>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</si>
  <si>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</si>
  <si>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</si>
  <si>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</si>
  <si>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</si>
  <si>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</si>
  <si>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</si>
  <si>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</si>
  <si>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</si>
  <si>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</si>
  <si>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</si>
  <si>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</si>
  <si>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</si>
  <si>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</si>
  <si>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</si>
  <si>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</si>
  <si>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</si>
  <si>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</si>
  <si>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</si>
  <si>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</si>
  <si>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</si>
  <si>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</si>
  <si>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</si>
  <si>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</si>
  <si>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</si>
  <si>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</si>
  <si>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</si>
  <si>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</si>
  <si>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</si>
  <si>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</si>
  <si>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</si>
  <si>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</si>
  <si>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</si>
  <si>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</si>
  <si>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</si>
  <si>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</si>
  <si>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</si>
  <si>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</si>
  <si>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</si>
  <si>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</si>
  <si>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</si>
  <si>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</si>
  <si>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</si>
  <si>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</si>
  <si>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</si>
  <si>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</si>
  <si>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</si>
  <si>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</si>
  <si>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</si>
  <si>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</si>
  <si>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</si>
  <si>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</si>
  <si>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</si>
  <si>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</si>
  <si>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</si>
  <si>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</si>
  <si>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</si>
  <si>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</si>
  <si>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</si>
  <si>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</si>
  <si>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</si>
  <si>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</si>
  <si>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</si>
  <si>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</si>
  <si>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</si>
  <si>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</si>
  <si>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</si>
  <si>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</si>
  <si>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</si>
  <si>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</si>
  <si>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</si>
  <si>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44021</t>
  </si>
  <si>
    <t>GENT</t>
  </si>
  <si>
    <t>Paarden&amp;pony's 200 - 600 kg</t>
  </si>
  <si>
    <t>Paarden&amp;pony's &lt; 200 kg</t>
  </si>
  <si>
    <t>referentietaak LNE (2017); Jaarverslag De Lijn (2014)</t>
  </si>
  <si>
    <t>op basis van VEA (maart 2018) en Inventaris Hernieuwbare Energiebronnen (juni 2018)</t>
  </si>
  <si>
    <t>VEA (maart 2016)</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</si>
  <si>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</si>
  <si>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</si>
  <si>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</si>
  <si>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</si>
  <si>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</si>
  <si>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</si>
  <si>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</si>
  <si>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</si>
  <si>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</si>
  <si>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</si>
  <si>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</si>
  <si>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</si>
  <si>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S&amp;R Gent nv</t>
  </si>
  <si>
    <t>Victor Braeckmanlaan 180 , 9040 Sint-Amandsberg</t>
  </si>
  <si>
    <t>WKK-0417 SR Gent</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</si>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</sst>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1478122.3294563489</c:v>
                </c:pt>
                <c:pt idx="1">
                  <c:v>1550831.1927412334</c:v>
                </c:pt>
                <c:pt idx="2">
                  <c:v>14492.38</c:v>
                </c:pt>
                <c:pt idx="3">
                  <c:v>89970.37026108522</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50912"/>
        <c:axId val="180118656"/>
      </c:barChart>
      <c:catAx>
        <c:axId val="179350912"/>
        <c:scaling>
          <c:orientation val="minMax"/>
        </c:scaling>
        <c:axPos val="b"/>
        <c:numFmt formatCode="General" sourceLinked="0"/>
        <c:tickLblPos val="nextTo"/>
        <c:crossAx val="180118656"/>
        <c:crosses val="autoZero"/>
        <c:auto val="1"/>
        <c:lblAlgn val="ctr"/>
        <c:lblOffset val="100"/>
      </c:catAx>
      <c:valAx>
        <c:axId val="180118656"/>
        <c:scaling>
          <c:orientation val="minMax"/>
        </c:scaling>
        <c:axPos val="l"/>
        <c:majorGridlines/>
        <c:numFmt formatCode="#,##0" sourceLinked="1"/>
        <c:tickLblPos val="nextTo"/>
        <c:crossAx val="179350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1478122.3294563489</c:v>
                </c:pt>
                <c:pt idx="1">
                  <c:v>1550831.1927412334</c:v>
                </c:pt>
                <c:pt idx="2">
                  <c:v>14492.38</c:v>
                </c:pt>
                <c:pt idx="3">
                  <c:v>89970.37026108522</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282917.16314678709</c:v>
                </c:pt>
                <c:pt idx="1">
                  <c:v>310095.33077952417</c:v>
                </c:pt>
                <c:pt idx="2">
                  <c:v>2895.07024417205</c:v>
                </c:pt>
                <c:pt idx="3">
                  <c:v>18759.342400366262</c:v>
                </c:pt>
                <c:pt idx="4">
                  <c:v>159150.25946169029</c:v>
                </c:pt>
                <c:pt idx="5">
                  <c:v>543771.80375272769</c:v>
                </c:pt>
                <c:pt idx="6">
                  <c:v>11411.078609996815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282917.16314678709</c:v>
                </c:pt>
                <c:pt idx="1">
                  <c:v>310095.33077952417</c:v>
                </c:pt>
                <c:pt idx="2">
                  <c:v>2895.07024417205</c:v>
                </c:pt>
                <c:pt idx="3">
                  <c:v>18759.342400366262</c:v>
                </c:pt>
                <c:pt idx="4">
                  <c:v>159150.25946169029</c:v>
                </c:pt>
                <c:pt idx="5">
                  <c:v>543771.80375272769</c:v>
                </c:pt>
                <c:pt idx="6">
                  <c:v>11411.078609996815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44021</v>
      </c>
      <c r="B6" s="416"/>
      <c r="C6" s="417"/>
    </row>
    <row r="7" spans="1:7" s="414" customFormat="1" ht="15.75" customHeight="1">
      <c r="A7" s="418" t="str">
        <f>txtMunicipality</f>
        <v>GENT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116970</v>
      </c>
      <c r="C9" s="342">
        <v>123757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3137</v>
      </c>
    </row>
    <row r="15" spans="1:6">
      <c r="A15" s="348" t="s">
        <v>184</v>
      </c>
      <c r="B15" s="334">
        <v>50</v>
      </c>
    </row>
    <row r="16" spans="1:6">
      <c r="A16" s="348" t="s">
        <v>6</v>
      </c>
      <c r="B16" s="334">
        <v>1388</v>
      </c>
    </row>
    <row r="17" spans="1:6">
      <c r="A17" s="348" t="s">
        <v>7</v>
      </c>
      <c r="B17" s="334">
        <v>874</v>
      </c>
    </row>
    <row r="18" spans="1:6">
      <c r="A18" s="348" t="s">
        <v>8</v>
      </c>
      <c r="B18" s="334">
        <v>1419</v>
      </c>
    </row>
    <row r="19" spans="1:6">
      <c r="A19" s="348" t="s">
        <v>9</v>
      </c>
      <c r="B19" s="334">
        <v>1221</v>
      </c>
    </row>
    <row r="20" spans="1:6">
      <c r="A20" s="348" t="s">
        <v>10</v>
      </c>
      <c r="B20" s="334">
        <v>1078</v>
      </c>
    </row>
    <row r="21" spans="1:6">
      <c r="A21" s="348" t="s">
        <v>11</v>
      </c>
      <c r="B21" s="334">
        <v>1779</v>
      </c>
    </row>
    <row r="22" spans="1:6">
      <c r="A22" s="348" t="s">
        <v>12</v>
      </c>
      <c r="B22" s="334">
        <v>3316</v>
      </c>
    </row>
    <row r="23" spans="1:6">
      <c r="A23" s="348" t="s">
        <v>13</v>
      </c>
      <c r="B23" s="334">
        <v>28</v>
      </c>
    </row>
    <row r="24" spans="1:6">
      <c r="A24" s="348" t="s">
        <v>14</v>
      </c>
      <c r="B24" s="334">
        <v>3</v>
      </c>
    </row>
    <row r="25" spans="1:6">
      <c r="A25" s="348" t="s">
        <v>15</v>
      </c>
      <c r="B25" s="334">
        <v>492</v>
      </c>
    </row>
    <row r="26" spans="1:6">
      <c r="A26" s="348" t="s">
        <v>16</v>
      </c>
      <c r="B26" s="334">
        <v>351</v>
      </c>
    </row>
    <row r="27" spans="1:6">
      <c r="A27" s="348" t="s">
        <v>17</v>
      </c>
      <c r="B27" s="334">
        <v>7</v>
      </c>
    </row>
    <row r="28" spans="1:6" s="356" customFormat="1">
      <c r="A28" s="355" t="s">
        <v>18</v>
      </c>
      <c r="B28" s="355">
        <v>7</v>
      </c>
    </row>
    <row r="29" spans="1:6">
      <c r="A29" s="355" t="s">
        <v>865</v>
      </c>
      <c r="B29" s="355">
        <v>464</v>
      </c>
      <c r="C29" s="356"/>
      <c r="D29" s="356"/>
      <c r="E29" s="356"/>
      <c r="F29" s="356"/>
    </row>
    <row r="30" spans="1:6">
      <c r="A30" s="341" t="s">
        <v>866</v>
      </c>
      <c r="B30" s="341">
        <v>83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11</v>
      </c>
      <c r="F35" s="334">
        <v>130107.3</v>
      </c>
    </row>
    <row r="36" spans="1:6">
      <c r="A36" s="348" t="s">
        <v>25</v>
      </c>
      <c r="B36" s="348" t="s">
        <v>27</v>
      </c>
      <c r="C36" s="334">
        <v>6</v>
      </c>
      <c r="D36" s="334">
        <v>1002416.78562934</v>
      </c>
      <c r="E36" s="334">
        <v>48</v>
      </c>
      <c r="F36" s="334">
        <v>5673033</v>
      </c>
    </row>
    <row r="37" spans="1:6">
      <c r="A37" s="348" t="s">
        <v>25</v>
      </c>
      <c r="B37" s="348" t="s">
        <v>28</v>
      </c>
      <c r="C37" s="334">
        <v>0</v>
      </c>
      <c r="D37" s="334">
        <v>0</v>
      </c>
      <c r="E37" s="334">
        <v>0</v>
      </c>
      <c r="F37" s="334">
        <v>0</v>
      </c>
    </row>
    <row r="38" spans="1:6">
      <c r="A38" s="348" t="s">
        <v>25</v>
      </c>
      <c r="B38" s="348" t="s">
        <v>29</v>
      </c>
      <c r="C38" s="334">
        <v>6</v>
      </c>
      <c r="D38" s="334">
        <v>95091.493364186099</v>
      </c>
      <c r="E38" s="334">
        <v>16</v>
      </c>
      <c r="F38" s="334">
        <v>1129042</v>
      </c>
    </row>
    <row r="39" spans="1:6">
      <c r="A39" s="348" t="s">
        <v>30</v>
      </c>
      <c r="B39" s="348" t="s">
        <v>31</v>
      </c>
      <c r="C39" s="334">
        <v>87145</v>
      </c>
      <c r="D39" s="334">
        <v>1106001162.1263845</v>
      </c>
      <c r="E39" s="334">
        <v>115458</v>
      </c>
      <c r="F39" s="334">
        <v>369048843.81</v>
      </c>
    </row>
    <row r="40" spans="1:6">
      <c r="A40" s="348" t="s">
        <v>30</v>
      </c>
      <c r="B40" s="348" t="s">
        <v>29</v>
      </c>
      <c r="C40" s="334">
        <v>2</v>
      </c>
      <c r="D40" s="334">
        <v>156704.75038427499</v>
      </c>
      <c r="E40" s="334">
        <v>2</v>
      </c>
      <c r="F40" s="334">
        <v>6968.7929999999997</v>
      </c>
    </row>
    <row r="41" spans="1:6">
      <c r="A41" s="348" t="s">
        <v>32</v>
      </c>
      <c r="B41" s="348" t="s">
        <v>33</v>
      </c>
      <c r="C41" s="334">
        <v>986</v>
      </c>
      <c r="D41" s="334">
        <v>59591319.198256701</v>
      </c>
      <c r="E41" s="334">
        <v>1674</v>
      </c>
      <c r="F41" s="334">
        <v>25907824</v>
      </c>
    </row>
    <row r="42" spans="1:6">
      <c r="A42" s="348" t="s">
        <v>32</v>
      </c>
      <c r="B42" s="348" t="s">
        <v>34</v>
      </c>
      <c r="C42" s="334">
        <v>9</v>
      </c>
      <c r="D42" s="334">
        <v>13550706.9116084</v>
      </c>
      <c r="E42" s="334">
        <v>22</v>
      </c>
      <c r="F42" s="334">
        <v>31866311</v>
      </c>
    </row>
    <row r="43" spans="1:6">
      <c r="A43" s="348" t="s">
        <v>32</v>
      </c>
      <c r="B43" s="348" t="s">
        <v>35</v>
      </c>
      <c r="C43" s="334">
        <v>0</v>
      </c>
      <c r="D43" s="334">
        <v>0</v>
      </c>
      <c r="E43" s="334">
        <v>0</v>
      </c>
      <c r="F43" s="334">
        <v>0</v>
      </c>
    </row>
    <row r="44" spans="1:6">
      <c r="A44" s="348" t="s">
        <v>32</v>
      </c>
      <c r="B44" s="348" t="s">
        <v>36</v>
      </c>
      <c r="C44" s="334">
        <v>27</v>
      </c>
      <c r="D44" s="334">
        <v>12427936.535816399</v>
      </c>
      <c r="E44" s="334">
        <v>158</v>
      </c>
      <c r="F44" s="334">
        <v>32518335</v>
      </c>
    </row>
    <row r="45" spans="1:6">
      <c r="A45" s="348" t="s">
        <v>32</v>
      </c>
      <c r="B45" s="348" t="s">
        <v>37</v>
      </c>
      <c r="C45" s="334">
        <v>3</v>
      </c>
      <c r="D45" s="334">
        <v>148767.360933535</v>
      </c>
      <c r="E45" s="334">
        <v>30</v>
      </c>
      <c r="F45" s="334">
        <v>71611984</v>
      </c>
    </row>
    <row r="46" spans="1:6">
      <c r="A46" s="348" t="s">
        <v>32</v>
      </c>
      <c r="B46" s="348" t="s">
        <v>38</v>
      </c>
      <c r="C46" s="334">
        <v>0</v>
      </c>
      <c r="D46" s="334">
        <v>0</v>
      </c>
      <c r="E46" s="334">
        <v>0</v>
      </c>
      <c r="F46" s="334">
        <v>0</v>
      </c>
    </row>
    <row r="47" spans="1:6">
      <c r="A47" s="348" t="s">
        <v>32</v>
      </c>
      <c r="B47" s="348" t="s">
        <v>39</v>
      </c>
      <c r="C47" s="334">
        <v>71</v>
      </c>
      <c r="D47" s="334">
        <v>3075410.8097005798</v>
      </c>
      <c r="E47" s="334">
        <v>111</v>
      </c>
      <c r="F47" s="334">
        <v>14300188</v>
      </c>
    </row>
    <row r="48" spans="1:6">
      <c r="A48" s="348" t="s">
        <v>32</v>
      </c>
      <c r="B48" s="348" t="s">
        <v>29</v>
      </c>
      <c r="C48" s="334">
        <v>270</v>
      </c>
      <c r="D48" s="334">
        <v>217576156.996768</v>
      </c>
      <c r="E48" s="334">
        <v>348</v>
      </c>
      <c r="F48" s="334">
        <v>177000000</v>
      </c>
    </row>
    <row r="49" spans="1:6">
      <c r="A49" s="348" t="s">
        <v>32</v>
      </c>
      <c r="B49" s="348" t="s">
        <v>40</v>
      </c>
      <c r="C49" s="334">
        <v>23</v>
      </c>
      <c r="D49" s="334">
        <v>455441.81123926397</v>
      </c>
      <c r="E49" s="334">
        <v>30</v>
      </c>
      <c r="F49" s="334">
        <v>361667.9</v>
      </c>
    </row>
    <row r="50" spans="1:6">
      <c r="A50" s="348" t="s">
        <v>32</v>
      </c>
      <c r="B50" s="348" t="s">
        <v>41</v>
      </c>
      <c r="C50" s="334">
        <v>137</v>
      </c>
      <c r="D50" s="334">
        <v>8428912.6038994696</v>
      </c>
      <c r="E50" s="334">
        <v>206</v>
      </c>
      <c r="F50" s="334">
        <v>7749773</v>
      </c>
    </row>
    <row r="51" spans="1:6">
      <c r="A51" s="348" t="s">
        <v>42</v>
      </c>
      <c r="B51" s="348" t="s">
        <v>43</v>
      </c>
      <c r="C51" s="334">
        <v>82</v>
      </c>
      <c r="D51" s="334">
        <v>3786392.3860313599</v>
      </c>
      <c r="E51" s="334">
        <v>258</v>
      </c>
      <c r="F51" s="334">
        <v>2691707</v>
      </c>
    </row>
    <row r="52" spans="1:6">
      <c r="A52" s="348" t="s">
        <v>42</v>
      </c>
      <c r="B52" s="348" t="s">
        <v>29</v>
      </c>
      <c r="C52" s="334">
        <v>30</v>
      </c>
      <c r="D52" s="334">
        <v>1424107.4913127201</v>
      </c>
      <c r="E52" s="334">
        <v>59</v>
      </c>
      <c r="F52" s="334">
        <v>470298.2</v>
      </c>
    </row>
    <row r="53" spans="1:6">
      <c r="A53" s="348" t="s">
        <v>44</v>
      </c>
      <c r="B53" s="348" t="s">
        <v>45</v>
      </c>
      <c r="C53" s="334">
        <v>3907</v>
      </c>
      <c r="D53" s="334">
        <v>81595012.323919594</v>
      </c>
      <c r="E53" s="334">
        <v>6755</v>
      </c>
      <c r="F53" s="334">
        <v>25851045</v>
      </c>
    </row>
    <row r="54" spans="1:6">
      <c r="A54" s="348" t="s">
        <v>46</v>
      </c>
      <c r="B54" s="348" t="s">
        <v>47</v>
      </c>
      <c r="C54" s="334">
        <v>0</v>
      </c>
      <c r="D54" s="334">
        <v>0</v>
      </c>
      <c r="E54" s="334">
        <v>13</v>
      </c>
      <c r="F54" s="334">
        <v>14492380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919</v>
      </c>
      <c r="D57" s="334">
        <v>46499560.6489577</v>
      </c>
      <c r="E57" s="334">
        <v>1385</v>
      </c>
      <c r="F57" s="334">
        <v>52572148</v>
      </c>
    </row>
    <row r="58" spans="1:6">
      <c r="A58" s="348" t="s">
        <v>49</v>
      </c>
      <c r="B58" s="348" t="s">
        <v>51</v>
      </c>
      <c r="C58" s="334">
        <v>697</v>
      </c>
      <c r="D58" s="334">
        <v>84358218.765451401</v>
      </c>
      <c r="E58" s="334">
        <v>946</v>
      </c>
      <c r="F58" s="334">
        <v>54166023</v>
      </c>
    </row>
    <row r="59" spans="1:6">
      <c r="A59" s="348" t="s">
        <v>49</v>
      </c>
      <c r="B59" s="348" t="s">
        <v>52</v>
      </c>
      <c r="C59" s="334">
        <v>2006</v>
      </c>
      <c r="D59" s="334">
        <v>75790353.780303597</v>
      </c>
      <c r="E59" s="334">
        <v>3478</v>
      </c>
      <c r="F59" s="334">
        <v>158000000</v>
      </c>
    </row>
    <row r="60" spans="1:6">
      <c r="A60" s="348" t="s">
        <v>49</v>
      </c>
      <c r="B60" s="348" t="s">
        <v>53</v>
      </c>
      <c r="C60" s="334">
        <v>1326</v>
      </c>
      <c r="D60" s="334">
        <v>93046803.064290702</v>
      </c>
      <c r="E60" s="334">
        <v>1647</v>
      </c>
      <c r="F60" s="334">
        <v>59544875</v>
      </c>
    </row>
    <row r="61" spans="1:6">
      <c r="A61" s="348" t="s">
        <v>49</v>
      </c>
      <c r="B61" s="348" t="s">
        <v>54</v>
      </c>
      <c r="C61" s="334">
        <v>4857</v>
      </c>
      <c r="D61" s="334">
        <v>303164034.81105697</v>
      </c>
      <c r="E61" s="334">
        <v>8859</v>
      </c>
      <c r="F61" s="334">
        <v>183000000</v>
      </c>
    </row>
    <row r="62" spans="1:6">
      <c r="A62" s="348" t="s">
        <v>49</v>
      </c>
      <c r="B62" s="348" t="s">
        <v>55</v>
      </c>
      <c r="C62" s="334">
        <v>481</v>
      </c>
      <c r="D62" s="334">
        <v>110719454.060477</v>
      </c>
      <c r="E62" s="334">
        <v>817</v>
      </c>
      <c r="F62" s="334">
        <v>94472788</v>
      </c>
    </row>
    <row r="63" spans="1:6">
      <c r="A63" s="348" t="s">
        <v>49</v>
      </c>
      <c r="B63" s="348" t="s">
        <v>29</v>
      </c>
      <c r="C63" s="334">
        <v>812</v>
      </c>
      <c r="D63" s="334">
        <v>81816238.202719793</v>
      </c>
      <c r="E63" s="334">
        <v>899</v>
      </c>
      <c r="F63" s="334">
        <v>74877368</v>
      </c>
    </row>
    <row r="64" spans="1:6">
      <c r="A64" s="348" t="s">
        <v>56</v>
      </c>
      <c r="B64" s="348" t="s">
        <v>57</v>
      </c>
      <c r="C64" s="334">
        <v>0</v>
      </c>
      <c r="D64" s="334">
        <v>0</v>
      </c>
      <c r="E64" s="334">
        <v>0</v>
      </c>
      <c r="F64" s="334">
        <v>0</v>
      </c>
    </row>
    <row r="65" spans="1:6">
      <c r="A65" s="348" t="s">
        <v>56</v>
      </c>
      <c r="B65" s="348" t="s">
        <v>29</v>
      </c>
      <c r="C65" s="334">
        <v>26</v>
      </c>
      <c r="D65" s="334">
        <v>3310670.0280321399</v>
      </c>
      <c r="E65" s="334">
        <v>27</v>
      </c>
      <c r="F65" s="334">
        <v>679396.5</v>
      </c>
    </row>
    <row r="66" spans="1:6">
      <c r="A66" s="348" t="s">
        <v>56</v>
      </c>
      <c r="B66" s="348" t="s">
        <v>58</v>
      </c>
      <c r="C66" s="334">
        <v>0</v>
      </c>
      <c r="D66" s="334">
        <v>0</v>
      </c>
      <c r="E66" s="334">
        <v>149</v>
      </c>
      <c r="F66" s="334">
        <v>8958058</v>
      </c>
    </row>
    <row r="67" spans="1:6">
      <c r="A67" s="355" t="s">
        <v>56</v>
      </c>
      <c r="B67" s="355" t="s">
        <v>59</v>
      </c>
      <c r="C67" s="334">
        <v>0</v>
      </c>
      <c r="D67" s="334">
        <v>0</v>
      </c>
      <c r="E67" s="334">
        <v>0</v>
      </c>
      <c r="F67" s="334">
        <v>0</v>
      </c>
    </row>
    <row r="68" spans="1:6">
      <c r="A68" s="341" t="s">
        <v>56</v>
      </c>
      <c r="B68" s="341" t="s">
        <v>60</v>
      </c>
      <c r="C68" s="334">
        <v>44</v>
      </c>
      <c r="D68" s="334">
        <v>2961993.7489483501</v>
      </c>
      <c r="E68" s="334">
        <v>125</v>
      </c>
      <c r="F68" s="334">
        <v>11968226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622962888</v>
      </c>
      <c r="E73" s="477">
        <v>578079962.54652369</v>
      </c>
    </row>
    <row r="74" spans="1:6">
      <c r="A74" s="348" t="s">
        <v>64</v>
      </c>
      <c r="B74" s="348" t="s">
        <v>714</v>
      </c>
      <c r="C74" s="1288" t="s">
        <v>716</v>
      </c>
      <c r="D74" s="477">
        <v>94737817.929085851</v>
      </c>
      <c r="E74" s="477">
        <v>83805662.525545672</v>
      </c>
    </row>
    <row r="75" spans="1:6">
      <c r="A75" s="348" t="s">
        <v>65</v>
      </c>
      <c r="B75" s="348" t="s">
        <v>713</v>
      </c>
      <c r="C75" s="1288" t="s">
        <v>717</v>
      </c>
      <c r="D75" s="477">
        <v>399482226</v>
      </c>
      <c r="E75" s="477">
        <v>354211076.14638919</v>
      </c>
    </row>
    <row r="76" spans="1:6">
      <c r="A76" s="348" t="s">
        <v>65</v>
      </c>
      <c r="B76" s="348" t="s">
        <v>714</v>
      </c>
      <c r="C76" s="1288" t="s">
        <v>718</v>
      </c>
      <c r="D76" s="477">
        <v>33741017.929085843</v>
      </c>
      <c r="E76" s="477">
        <v>24505526.076054547</v>
      </c>
    </row>
    <row r="77" spans="1:6">
      <c r="A77" s="348" t="s">
        <v>66</v>
      </c>
      <c r="B77" s="348" t="s">
        <v>713</v>
      </c>
      <c r="C77" s="1288" t="s">
        <v>719</v>
      </c>
      <c r="D77" s="477">
        <v>969164338</v>
      </c>
      <c r="E77" s="477">
        <v>1033815157.3914365</v>
      </c>
    </row>
    <row r="78" spans="1:6">
      <c r="A78" s="341" t="s">
        <v>66</v>
      </c>
      <c r="B78" s="341" t="s">
        <v>714</v>
      </c>
      <c r="C78" s="341" t="s">
        <v>720</v>
      </c>
      <c r="D78" s="1284">
        <v>157527225</v>
      </c>
      <c r="E78" s="1284">
        <v>165350484.5809049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10176746.141828308</v>
      </c>
      <c r="C83" s="477">
        <v>10325487.105371019</v>
      </c>
    </row>
    <row r="84" spans="1:6">
      <c r="A84" s="341" t="s">
        <v>337</v>
      </c>
      <c r="B84" s="1284">
        <v>2544036.6204024982</v>
      </c>
      <c r="C84" s="1284">
        <v>2624738.0339463553</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79800.895603954152</v>
      </c>
    </row>
    <row r="91" spans="1:6">
      <c r="A91" s="348" t="s">
        <v>68</v>
      </c>
      <c r="B91" s="334">
        <v>17686.155218551972</v>
      </c>
    </row>
    <row r="92" spans="1:6">
      <c r="A92" s="341" t="s">
        <v>69</v>
      </c>
      <c r="B92" s="342">
        <v>35459.020539907477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3</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105</v>
      </c>
      <c r="C123" s="334">
        <v>253</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890</v>
      </c>
    </row>
    <row r="130" spans="1:6">
      <c r="A130" s="348" t="s">
        <v>295</v>
      </c>
      <c r="B130" s="334">
        <v>24</v>
      </c>
    </row>
    <row r="131" spans="1:6">
      <c r="A131" s="348" t="s">
        <v>296</v>
      </c>
      <c r="B131" s="334">
        <v>15</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1465822.4490965141</v>
      </c>
      <c r="C3" s="43" t="s">
        <v>170</v>
      </c>
      <c r="D3" s="43"/>
      <c r="E3" s="154"/>
      <c r="F3" s="43"/>
      <c r="G3" s="43"/>
      <c r="H3" s="43"/>
      <c r="I3" s="43"/>
      <c r="J3" s="43"/>
      <c r="K3" s="96"/>
    </row>
    <row r="4" spans="1:11">
      <c r="A4" s="384" t="s">
        <v>171</v>
      </c>
      <c r="B4" s="49">
        <f>IF(ISERROR('SEAP template'!B69),0,'SEAP template'!B69)</f>
        <v>147200.38386241358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1404.5404209894023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0.1997649967894887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1667.4738647248837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14716.339285714286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0.11330765296662904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14492.38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14492.38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0.1997649967894887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2895.07024417205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369055.81260299997</v>
      </c>
      <c r="C5" s="17">
        <f>IF(ISERROR('Eigen informatie GS &amp; warmtenet'!B57),0,'Eigen informatie GS &amp; warmtenet'!B57)</f>
        <v>0</v>
      </c>
      <c r="D5" s="30">
        <f>(SUM(HH_hh_gas_kWh,HH_rest_gas_kWh)/1000)*0.902</f>
        <v>997754.39592284558</v>
      </c>
      <c r="E5" s="17">
        <f>B46*B57</f>
        <v>18120.119868455706</v>
      </c>
      <c r="F5" s="17">
        <f>B51*B62</f>
        <v>0</v>
      </c>
      <c r="G5" s="18"/>
      <c r="H5" s="17"/>
      <c r="I5" s="17"/>
      <c r="J5" s="17">
        <f>B50*B61+C50*C61</f>
        <v>0</v>
      </c>
      <c r="K5" s="17"/>
      <c r="L5" s="17"/>
      <c r="M5" s="17"/>
      <c r="N5" s="17">
        <f>B48*B59+C48*C59</f>
        <v>70679.539176828708</v>
      </c>
      <c r="O5" s="17">
        <f>B69*B70*B71</f>
        <v>1794.7066666666669</v>
      </c>
      <c r="P5" s="17">
        <f>B77*B78*B79/1000-B77*B78*B79/1000/B80</f>
        <v>3031.6</v>
      </c>
    </row>
    <row r="6" spans="1:16">
      <c r="A6" s="16" t="s">
        <v>631</v>
      </c>
      <c r="B6" s="844">
        <f>kWh_PV_kleiner_dan_10kW</f>
        <v>17686.155218551972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386741.96782155195</v>
      </c>
      <c r="C8" s="21">
        <f>C5</f>
        <v>0</v>
      </c>
      <c r="D8" s="21">
        <f>D5</f>
        <v>997754.39592284558</v>
      </c>
      <c r="E8" s="21">
        <f>E5</f>
        <v>18120.119868455706</v>
      </c>
      <c r="F8" s="21">
        <f>F5</f>
        <v>0</v>
      </c>
      <c r="G8" s="21"/>
      <c r="H8" s="21"/>
      <c r="I8" s="21"/>
      <c r="J8" s="21">
        <f>J5</f>
        <v>0</v>
      </c>
      <c r="K8" s="21"/>
      <c r="L8" s="21">
        <f>L5</f>
        <v>0</v>
      </c>
      <c r="M8" s="21">
        <f>M5</f>
        <v>0</v>
      </c>
      <c r="N8" s="21">
        <f>N5</f>
        <v>70679.539176828708</v>
      </c>
      <c r="O8" s="21">
        <f>O5</f>
        <v>1794.7066666666669</v>
      </c>
      <c r="P8" s="21">
        <f>P5</f>
        <v>3031.6</v>
      </c>
    </row>
    <row r="9" spans="1:16">
      <c r="B9" s="19"/>
      <c r="C9" s="19"/>
      <c r="D9" s="258"/>
      <c r="E9" s="19"/>
      <c r="F9" s="19"/>
      <c r="G9" s="19"/>
      <c r="H9" s="19"/>
      <c r="I9" s="19"/>
      <c r="J9" s="19"/>
      <c r="K9" s="19"/>
      <c r="L9" s="19"/>
      <c r="M9" s="19"/>
      <c r="N9" s="19"/>
      <c r="O9" s="19"/>
      <c r="P9" s="19"/>
    </row>
    <row r="10" spans="1:16">
      <c r="A10" s="24" t="s">
        <v>214</v>
      </c>
      <c r="B10" s="25">
        <f ca="1">'EF ele_warmte'!B12</f>
        <v>0.1997649967894887</v>
      </c>
      <c r="C10" s="25">
        <f ca="1">'EF ele_warmte'!B22</f>
        <v>0.11330765296662904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77257.507960232862</v>
      </c>
      <c r="C12" s="23">
        <f ca="1">C10*C8</f>
        <v>0</v>
      </c>
      <c r="D12" s="23">
        <f>D8*D10</f>
        <v>201546.38797641482</v>
      </c>
      <c r="E12" s="23">
        <f>E10*E8</f>
        <v>4113.2672101394455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740</v>
      </c>
      <c r="B28" s="37">
        <f>aantalHuishoudens2011</f>
        <v>116970</v>
      </c>
      <c r="C28" s="36"/>
      <c r="D28" s="228"/>
    </row>
    <row r="29" spans="1:7" s="15" customFormat="1">
      <c r="A29" s="230" t="s">
        <v>741</v>
      </c>
      <c r="B29" s="37">
        <f>SUM(HH_hh_gas_aantal,HH_rest_gas_aantal)</f>
        <v>87147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87147</v>
      </c>
      <c r="C32" s="167">
        <f>IF(ISERROR(B32/SUM($B$32,$B$34,$B$35,$B$36,$B$38,$B$39)*100),0,B32/SUM($B$32,$B$34,$B$35,$B$36,$B$38,$B$39)*100)</f>
        <v>74.605131366052859</v>
      </c>
      <c r="D32" s="233"/>
      <c r="G32" s="15"/>
    </row>
    <row r="33" spans="1:7">
      <c r="A33" s="171" t="s">
        <v>72</v>
      </c>
      <c r="B33" s="34" t="s">
        <v>111</v>
      </c>
      <c r="C33" s="167"/>
      <c r="D33" s="233"/>
      <c r="G33" s="15"/>
    </row>
    <row r="34" spans="1:7">
      <c r="A34" s="171" t="s">
        <v>73</v>
      </c>
      <c r="B34" s="33">
        <f>IF((($B$28-$B$32-$B$39-$B$77-$B$38)*C20/100)&lt;0,0,($B$28-$B$32-$B$39-$B$77-$B$38)*C20/100)</f>
        <v>1214.4449170565717</v>
      </c>
      <c r="C34" s="167">
        <f>IF(ISERROR(B34/SUM($B$32,$B$34,$B$35,$B$36,$B$38,$B$39)*100),0,B34/SUM($B$32,$B$34,$B$35,$B$36,$B$38,$B$39)*100)</f>
        <v>1.039666569977632</v>
      </c>
      <c r="D34" s="233"/>
      <c r="G34" s="15"/>
    </row>
    <row r="35" spans="1:7">
      <c r="A35" s="171" t="s">
        <v>74</v>
      </c>
      <c r="B35" s="33">
        <f>IF((($B$28-$B$32-$B$39-$B$77-$B$38)*C21/100)&lt;0,0,($B$28-$B$32-$B$39-$B$77-$B$38)*C21/100)</f>
        <v>27200.411739685242</v>
      </c>
      <c r="C35" s="167">
        <f>IF(ISERROR(B35/SUM($B$32,$B$34,$B$35,$B$36,$B$38,$B$39)*100),0,B35/SUM($B$32,$B$34,$B$35,$B$36,$B$38,$B$39)*100)</f>
        <v>23.285830734849664</v>
      </c>
      <c r="D35" s="233"/>
      <c r="G35" s="15"/>
    </row>
    <row r="36" spans="1:7">
      <c r="A36" s="171" t="s">
        <v>75</v>
      </c>
      <c r="B36" s="33">
        <f>IF((($B$28-$B$32-$B$39-$B$77-$B$38)*C22/100)&lt;0,0,($B$28-$B$32-$B$39-$B$77-$B$38)*C22/100)</f>
        <v>1249.143343258188</v>
      </c>
      <c r="C36" s="167">
        <f>IF(ISERROR(B36/SUM($B$32,$B$34,$B$35,$B$36,$B$38,$B$39)*100),0,B36/SUM($B$32,$B$34,$B$35,$B$36,$B$38,$B$39)*100)</f>
        <v>1.0693713291198499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87147</v>
      </c>
      <c r="C44" s="34" t="s">
        <v>111</v>
      </c>
      <c r="D44" s="174"/>
    </row>
    <row r="45" spans="1:7">
      <c r="A45" s="171" t="s">
        <v>72</v>
      </c>
      <c r="B45" s="33" t="str">
        <f t="shared" si="0"/>
        <v>-</v>
      </c>
      <c r="C45" s="34" t="s">
        <v>111</v>
      </c>
      <c r="D45" s="174"/>
    </row>
    <row r="46" spans="1:7">
      <c r="A46" s="171" t="s">
        <v>73</v>
      </c>
      <c r="B46" s="33">
        <f t="shared" si="0"/>
        <v>1214.4449170565717</v>
      </c>
      <c r="C46" s="34" t="s">
        <v>111</v>
      </c>
      <c r="D46" s="174"/>
    </row>
    <row r="47" spans="1:7">
      <c r="A47" s="171" t="s">
        <v>74</v>
      </c>
      <c r="B47" s="33">
        <f t="shared" si="0"/>
        <v>27200.411739685242</v>
      </c>
      <c r="C47" s="34" t="s">
        <v>111</v>
      </c>
      <c r="D47" s="174"/>
    </row>
    <row r="48" spans="1:7">
      <c r="A48" s="171" t="s">
        <v>75</v>
      </c>
      <c r="B48" s="33">
        <f t="shared" si="0"/>
        <v>1249.143343258188</v>
      </c>
      <c r="C48" s="33">
        <f>B48*10</f>
        <v>12491.43343258188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676633.20200000005</v>
      </c>
      <c r="C5" s="17">
        <f>IF(ISERROR('Eigen informatie GS &amp; warmtenet'!B58),0,'Eigen informatie GS &amp; warmtenet'!B58)</f>
        <v>0</v>
      </c>
      <c r="D5" s="30">
        <f>SUM(D6:D12)</f>
        <v>717445.98632659798</v>
      </c>
      <c r="E5" s="17">
        <f>SUM(E6:E12)</f>
        <v>5692.3276775495469</v>
      </c>
      <c r="F5" s="17">
        <f>SUM(F6:F12)</f>
        <v>108055.31322694053</v>
      </c>
      <c r="G5" s="18"/>
      <c r="H5" s="17"/>
      <c r="I5" s="17"/>
      <c r="J5" s="17">
        <f>SUM(J6:J12)</f>
        <v>0</v>
      </c>
      <c r="K5" s="17"/>
      <c r="L5" s="17"/>
      <c r="M5" s="17"/>
      <c r="N5" s="17">
        <f>SUM(N6:N12)</f>
        <v>47078.468510145009</v>
      </c>
      <c r="O5" s="17">
        <f>B38*B39*B40</f>
        <v>37.520000000000003</v>
      </c>
      <c r="P5" s="17">
        <f>B46*B47*B48/1000-B46*B47*B48/1000/B49</f>
        <v>286</v>
      </c>
      <c r="R5" s="32"/>
    </row>
    <row r="6" spans="1:18">
      <c r="A6" s="32" t="s">
        <v>54</v>
      </c>
      <c r="B6" s="37">
        <f>B26</f>
        <v>183000</v>
      </c>
      <c r="C6" s="33"/>
      <c r="D6" s="37">
        <f>IF(ISERROR(TER_kantoor_gas_kWh/1000),0,TER_kantoor_gas_kWh/1000)*0.902</f>
        <v>273453.95939957339</v>
      </c>
      <c r="E6" s="33">
        <f>$C$26*'E Balans VL '!I12/100/3.6*1000000</f>
        <v>530.17784990711812</v>
      </c>
      <c r="F6" s="33">
        <f>$C$26*('E Balans VL '!L12+'E Balans VL '!N12)/100/3.6*1000000</f>
        <v>20711.568197404889</v>
      </c>
      <c r="G6" s="34"/>
      <c r="H6" s="33"/>
      <c r="I6" s="33"/>
      <c r="J6" s="33">
        <f>$C$26*('E Balans VL '!D12+'E Balans VL '!E12)/100/3.6*1000000</f>
        <v>0</v>
      </c>
      <c r="K6" s="33"/>
      <c r="L6" s="33"/>
      <c r="M6" s="33"/>
      <c r="N6" s="33">
        <f>$C$26*'E Balans VL '!Y12/100/3.6*1000000</f>
        <v>1831.6951595795413</v>
      </c>
      <c r="O6" s="33"/>
      <c r="P6" s="33"/>
      <c r="R6" s="32"/>
    </row>
    <row r="7" spans="1:18">
      <c r="A7" s="32" t="s">
        <v>53</v>
      </c>
      <c r="B7" s="37">
        <f t="shared" ref="B7:B12" si="0">B27</f>
        <v>59544.875</v>
      </c>
      <c r="C7" s="33"/>
      <c r="D7" s="37">
        <f>IF(ISERROR(TER_horeca_gas_kWh/1000),0,TER_horeca_gas_kWh/1000)*0.902</f>
        <v>83928.216363990214</v>
      </c>
      <c r="E7" s="33">
        <f>$C$27*'E Balans VL '!I9/100/3.6*1000000</f>
        <v>2499.5274874072616</v>
      </c>
      <c r="F7" s="33">
        <f>$C$27*('E Balans VL '!L9+'E Balans VL '!N9)/100/3.6*1000000</f>
        <v>12794.437476417041</v>
      </c>
      <c r="G7" s="34"/>
      <c r="H7" s="33"/>
      <c r="I7" s="33"/>
      <c r="J7" s="33">
        <f>$C$27*('E Balans VL '!D9+'E Balans VL '!E9)/100/3.6*1000000</f>
        <v>0</v>
      </c>
      <c r="K7" s="33"/>
      <c r="L7" s="33"/>
      <c r="M7" s="33"/>
      <c r="N7" s="33">
        <f>$C$27*'E Balans VL '!Y9/100/3.6*1000000</f>
        <v>15.34419354867712</v>
      </c>
      <c r="O7" s="33"/>
      <c r="P7" s="33"/>
      <c r="R7" s="32"/>
    </row>
    <row r="8" spans="1:18">
      <c r="A8" s="6" t="s">
        <v>52</v>
      </c>
      <c r="B8" s="37">
        <f t="shared" si="0"/>
        <v>158000</v>
      </c>
      <c r="C8" s="33"/>
      <c r="D8" s="37">
        <f>IF(ISERROR(TER_handel_gas_kWh/1000),0,TER_handel_gas_kWh/1000)*0.902</f>
        <v>68362.899109833845</v>
      </c>
      <c r="E8" s="33">
        <f>$C$28*'E Balans VL '!I13/100/3.6*1000000</f>
        <v>1697.0514996619127</v>
      </c>
      <c r="F8" s="33">
        <f>$C$28*('E Balans VL '!L13+'E Balans VL '!N13)/100/3.6*1000000</f>
        <v>20454.404737103108</v>
      </c>
      <c r="G8" s="34"/>
      <c r="H8" s="33"/>
      <c r="I8" s="33"/>
      <c r="J8" s="33">
        <f>$C$28*('E Balans VL '!D13+'E Balans VL '!E13)/100/3.6*1000000</f>
        <v>0</v>
      </c>
      <c r="K8" s="33"/>
      <c r="L8" s="33"/>
      <c r="M8" s="33"/>
      <c r="N8" s="33">
        <f>$C$28*'E Balans VL '!Y13/100/3.6*1000000</f>
        <v>1281.7046271751053</v>
      </c>
      <c r="O8" s="33"/>
      <c r="P8" s="33"/>
      <c r="R8" s="32"/>
    </row>
    <row r="9" spans="1:18">
      <c r="A9" s="32" t="s">
        <v>51</v>
      </c>
      <c r="B9" s="37">
        <f t="shared" si="0"/>
        <v>54166.023000000001</v>
      </c>
      <c r="C9" s="33"/>
      <c r="D9" s="37">
        <f>IF(ISERROR(TER_gezond_gas_kWh/1000),0,TER_gezond_gas_kWh/1000)*0.902</f>
        <v>76091.11332643716</v>
      </c>
      <c r="E9" s="33">
        <f>$C$29*'E Balans VL '!I10/100/3.6*1000000</f>
        <v>43.119657672509732</v>
      </c>
      <c r="F9" s="33">
        <f>$C$29*('E Balans VL '!L10+'E Balans VL '!N10)/100/3.6*1000000</f>
        <v>6584.6628651867186</v>
      </c>
      <c r="G9" s="34"/>
      <c r="H9" s="33"/>
      <c r="I9" s="33"/>
      <c r="J9" s="33">
        <f>$C$29*('E Balans VL '!D10+'E Balans VL '!E10)/100/3.6*1000000</f>
        <v>0</v>
      </c>
      <c r="K9" s="33"/>
      <c r="L9" s="33"/>
      <c r="M9" s="33"/>
      <c r="N9" s="33">
        <f>$C$29*'E Balans VL '!Y10/100/3.6*1000000</f>
        <v>437.53878344907707</v>
      </c>
      <c r="O9" s="33"/>
      <c r="P9" s="33"/>
      <c r="R9" s="32"/>
    </row>
    <row r="10" spans="1:18">
      <c r="A10" s="32" t="s">
        <v>50</v>
      </c>
      <c r="B10" s="37">
        <f t="shared" si="0"/>
        <v>52572.148000000001</v>
      </c>
      <c r="C10" s="33"/>
      <c r="D10" s="37">
        <f>IF(ISERROR(TER_ander_gas_kWh/1000),0,TER_ander_gas_kWh/1000)*0.902</f>
        <v>41942.603705359841</v>
      </c>
      <c r="E10" s="33">
        <f>$C$30*'E Balans VL '!I14/100/3.6*1000000</f>
        <v>180.16751298263364</v>
      </c>
      <c r="F10" s="33">
        <f>$C$30*('E Balans VL '!L14+'E Balans VL '!N14)/100/3.6*1000000</f>
        <v>11742.481582751647</v>
      </c>
      <c r="G10" s="34"/>
      <c r="H10" s="33"/>
      <c r="I10" s="33"/>
      <c r="J10" s="33">
        <f>$C$30*('E Balans VL '!D14+'E Balans VL '!E14)/100/3.6*1000000</f>
        <v>0</v>
      </c>
      <c r="K10" s="33"/>
      <c r="L10" s="33"/>
      <c r="M10" s="33"/>
      <c r="N10" s="33">
        <f>$C$30*'E Balans VL '!Y14/100/3.6*1000000</f>
        <v>37032.108247230623</v>
      </c>
      <c r="O10" s="33"/>
      <c r="P10" s="33"/>
      <c r="R10" s="32"/>
    </row>
    <row r="11" spans="1:18">
      <c r="A11" s="32" t="s">
        <v>55</v>
      </c>
      <c r="B11" s="37">
        <f t="shared" si="0"/>
        <v>94472.788</v>
      </c>
      <c r="C11" s="33"/>
      <c r="D11" s="37">
        <f>IF(ISERROR(TER_onderwijs_gas_kWh/1000),0,TER_onderwijs_gas_kWh/1000)*0.902</f>
        <v>99868.947562550253</v>
      </c>
      <c r="E11" s="33">
        <f>$C$31*'E Balans VL '!I11/100/3.6*1000000</f>
        <v>65.306128811513446</v>
      </c>
      <c r="F11" s="33">
        <f>$C$31*('E Balans VL '!L11+'E Balans VL '!N11)/100/3.6*1000000</f>
        <v>24730.231650110316</v>
      </c>
      <c r="G11" s="34"/>
      <c r="H11" s="33"/>
      <c r="I11" s="33"/>
      <c r="J11" s="33">
        <f>$C$31*('E Balans VL '!D11+'E Balans VL '!E11)/100/3.6*1000000</f>
        <v>0</v>
      </c>
      <c r="K11" s="33"/>
      <c r="L11" s="33"/>
      <c r="M11" s="33"/>
      <c r="N11" s="33">
        <f>$C$31*'E Balans VL '!Y11/100/3.6*1000000</f>
        <v>94.03961388961666</v>
      </c>
      <c r="O11" s="33"/>
      <c r="P11" s="33"/>
      <c r="R11" s="32"/>
    </row>
    <row r="12" spans="1:18">
      <c r="A12" s="32" t="s">
        <v>260</v>
      </c>
      <c r="B12" s="37">
        <f t="shared" si="0"/>
        <v>74877.368000000002</v>
      </c>
      <c r="C12" s="33"/>
      <c r="D12" s="37">
        <f>IF(ISERROR(TER_rest_gas_kWh/1000),0,TER_rest_gas_kWh/1000)*0.902</f>
        <v>73798.24685885325</v>
      </c>
      <c r="E12" s="33">
        <f>$C$32*'E Balans VL '!I8/100/3.6*1000000</f>
        <v>676.97754110659889</v>
      </c>
      <c r="F12" s="33">
        <f>$C$32*('E Balans VL '!L8+'E Balans VL '!N8)/100/3.6*1000000</f>
        <v>11037.526717966821</v>
      </c>
      <c r="G12" s="34"/>
      <c r="H12" s="33"/>
      <c r="I12" s="33"/>
      <c r="J12" s="33">
        <f>$C$32*('E Balans VL '!D8+'E Balans VL '!E8)/100/3.6*1000000</f>
        <v>0</v>
      </c>
      <c r="K12" s="33"/>
      <c r="L12" s="33"/>
      <c r="M12" s="33"/>
      <c r="N12" s="33">
        <f>$C$32*'E Balans VL '!Y8/100/3.6*1000000</f>
        <v>6386.0378852723679</v>
      </c>
      <c r="O12" s="33"/>
      <c r="P12" s="33"/>
      <c r="R12" s="32"/>
    </row>
    <row r="13" spans="1:18">
      <c r="A13" s="16" t="s">
        <v>494</v>
      </c>
      <c r="B13" s="247">
        <f ca="1">'lokale energieproductie'!N90+'lokale energieproductie'!N59</f>
        <v>4336.125</v>
      </c>
      <c r="C13" s="247">
        <f ca="1">'lokale energieproductie'!O90+'lokale energieproductie'!O59</f>
        <v>3539.4642857142858</v>
      </c>
      <c r="D13" s="310">
        <f ca="1">('lokale energieproductie'!P59+'lokale energieproductie'!P90)*(-1)</f>
        <v>-6963.2142857142862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-115.71428571428572</v>
      </c>
      <c r="M13" s="248"/>
      <c r="N13" s="310">
        <f ca="1">('lokale energieproductie'!Q59+'lokale energieproductie'!R59+'lokale energieproductie'!V59+'lokale energieproductie'!Q90+'lokale energieproductie'!R90+'lokale energieproductie'!V90)*(-1)</f>
        <v>-5310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680969.32700000005</v>
      </c>
      <c r="C16" s="21">
        <f t="shared" ca="1" si="1"/>
        <v>3539.4642857142858</v>
      </c>
      <c r="D16" s="21">
        <f t="shared" ca="1" si="1"/>
        <v>710482.77204088366</v>
      </c>
      <c r="E16" s="21">
        <f t="shared" si="1"/>
        <v>5692.3276775495469</v>
      </c>
      <c r="F16" s="21">
        <f t="shared" ca="1" si="1"/>
        <v>108055.31322694053</v>
      </c>
      <c r="G16" s="21">
        <f t="shared" si="1"/>
        <v>0</v>
      </c>
      <c r="H16" s="21">
        <f t="shared" si="1"/>
        <v>0</v>
      </c>
      <c r="I16" s="21">
        <f t="shared" si="1"/>
        <v>0</v>
      </c>
      <c r="J16" s="21">
        <f t="shared" si="1"/>
        <v>0</v>
      </c>
      <c r="K16" s="21">
        <f t="shared" si="1"/>
        <v>0</v>
      </c>
      <c r="L16" s="21">
        <f t="shared" ca="1" si="1"/>
        <v>0</v>
      </c>
      <c r="M16" s="21">
        <f t="shared" si="1"/>
        <v>0</v>
      </c>
      <c r="N16" s="21">
        <f t="shared" ca="1" si="1"/>
        <v>41768.468510145009</v>
      </c>
      <c r="O16" s="21">
        <f>O5</f>
        <v>37.520000000000003</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0.1997649967894887</v>
      </c>
      <c r="C18" s="25">
        <f ca="1">'EF ele_warmte'!B22</f>
        <v>0.11330765296662904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136033.83542189529</v>
      </c>
      <c r="C20" s="23">
        <f t="shared" ref="C20:P20" ca="1" si="2">C16*C18</f>
        <v>401.04839097349179</v>
      </c>
      <c r="D20" s="23">
        <f t="shared" ca="1" si="2"/>
        <v>143517.5199522585</v>
      </c>
      <c r="E20" s="23">
        <f t="shared" si="2"/>
        <v>1292.1583828037471</v>
      </c>
      <c r="F20" s="23">
        <f t="shared" ca="1" si="2"/>
        <v>28850.768631593124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183000</v>
      </c>
      <c r="C26" s="39">
        <f>IF(ISERROR(B26*3.6/1000000/'E Balans VL '!Z12*100),0,B26*3.6/1000000/'E Balans VL '!Z12*100)</f>
        <v>4.0198065691859552</v>
      </c>
      <c r="D26" s="237" t="s">
        <v>692</v>
      </c>
      <c r="F26" s="6"/>
    </row>
    <row r="27" spans="1:18">
      <c r="A27" s="231" t="s">
        <v>53</v>
      </c>
      <c r="B27" s="33">
        <f>IF(ISERROR(TER_horeca_ele_kWh/1000),0,TER_horeca_ele_kWh/1000)</f>
        <v>59544.875</v>
      </c>
      <c r="C27" s="39">
        <f>IF(ISERROR(B27*3.6/1000000/'E Balans VL '!Z9*100),0,B27*3.6/1000000/'E Balans VL '!Z9*100)</f>
        <v>4.7850242565744701</v>
      </c>
      <c r="D27" s="237" t="s">
        <v>692</v>
      </c>
      <c r="F27" s="6"/>
    </row>
    <row r="28" spans="1:18">
      <c r="A28" s="171" t="s">
        <v>52</v>
      </c>
      <c r="B28" s="33">
        <f>IF(ISERROR(TER_handel_ele_kWh/1000),0,TER_handel_ele_kWh/1000)</f>
        <v>158000</v>
      </c>
      <c r="C28" s="39">
        <f>IF(ISERROR(B28*3.6/1000000/'E Balans VL '!Z13*100),0,B28*3.6/1000000/'E Balans VL '!Z13*100)</f>
        <v>4.6719496188823744</v>
      </c>
      <c r="D28" s="237" t="s">
        <v>692</v>
      </c>
      <c r="F28" s="6"/>
    </row>
    <row r="29" spans="1:18">
      <c r="A29" s="231" t="s">
        <v>51</v>
      </c>
      <c r="B29" s="33">
        <f>IF(ISERROR(TER_gezond_ele_kWh/1000),0,TER_gezond_ele_kWh/1000)</f>
        <v>54166.023000000001</v>
      </c>
      <c r="C29" s="39">
        <f>IF(ISERROR(B29*3.6/1000000/'E Balans VL '!Z10*100),0,B29*3.6/1000000/'E Balans VL '!Z10*100)</f>
        <v>6.1031123486592413</v>
      </c>
      <c r="D29" s="237" t="s">
        <v>692</v>
      </c>
      <c r="F29" s="6"/>
    </row>
    <row r="30" spans="1:18">
      <c r="A30" s="231" t="s">
        <v>50</v>
      </c>
      <c r="B30" s="33">
        <f>IF(ISERROR(TER_ander_ele_kWh/1000),0,TER_ander_ele_kWh/1000)</f>
        <v>52572.148000000001</v>
      </c>
      <c r="C30" s="39">
        <f>IF(ISERROR(B30*3.6/1000000/'E Balans VL '!Z14*100),0,B30*3.6/1000000/'E Balans VL '!Z14*100)</f>
        <v>3.9759416852123386</v>
      </c>
      <c r="D30" s="237" t="s">
        <v>692</v>
      </c>
      <c r="F30" s="6"/>
    </row>
    <row r="31" spans="1:18">
      <c r="A31" s="231" t="s">
        <v>55</v>
      </c>
      <c r="B31" s="33">
        <f>IF(ISERROR(TER_onderwijs_ele_kWh/1000),0,TER_onderwijs_ele_kWh/1000)</f>
        <v>94472.788</v>
      </c>
      <c r="C31" s="39">
        <f>IF(ISERROR(B31*3.6/1000000/'E Balans VL '!Z11*100),0,B31*3.6/1000000/'E Balans VL '!Z11*100)</f>
        <v>19.610357697176934</v>
      </c>
      <c r="D31" s="237" t="s">
        <v>692</v>
      </c>
    </row>
    <row r="32" spans="1:18">
      <c r="A32" s="231" t="s">
        <v>260</v>
      </c>
      <c r="B32" s="33">
        <f>IF(ISERROR(TER_rest_ele_kWh/1000),0,TER_rest_ele_kWh/1000)</f>
        <v>74877.368000000002</v>
      </c>
      <c r="C32" s="39">
        <f>IF(ISERROR(B32*3.6/1000000/'E Balans VL '!Z8*100),0,B32*3.6/1000000/'E Balans VL '!Z8*100)</f>
        <v>0.63079777653610469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361316.08289999998</v>
      </c>
      <c r="C5" s="17">
        <f>IF(ISERROR('Eigen informatie GS &amp; warmtenet'!B59),0,'Eigen informatie GS &amp; warmtenet'!B59)</f>
        <v>0</v>
      </c>
      <c r="D5" s="30">
        <f>SUM(D6:D15)</f>
        <v>284359.69630985655</v>
      </c>
      <c r="E5" s="17">
        <f>SUM(E6:E15)</f>
        <v>17387.881894585084</v>
      </c>
      <c r="F5" s="17">
        <f>SUM(F6:F15)</f>
        <v>88503.936816713045</v>
      </c>
      <c r="G5" s="18"/>
      <c r="H5" s="17"/>
      <c r="I5" s="17"/>
      <c r="J5" s="17">
        <f>SUM(J6:J15)</f>
        <v>1034.2355743648895</v>
      </c>
      <c r="K5" s="17"/>
      <c r="L5" s="17"/>
      <c r="M5" s="17"/>
      <c r="N5" s="17">
        <f>SUM(N6:N15)</f>
        <v>53130.51428325013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32518.334999999999</v>
      </c>
      <c r="C8" s="33"/>
      <c r="D8" s="37">
        <f>IF( ISERROR(IND_metaal_Gas_kWH/1000),0,IND_metaal_Gas_kWH/1000)*0.902</f>
        <v>11209.998755306393</v>
      </c>
      <c r="E8" s="33">
        <f>C30*'E Balans VL '!I18/100/3.6*1000000</f>
        <v>813.82011331575757</v>
      </c>
      <c r="F8" s="33">
        <f>C30*'E Balans VL '!L18/100/3.6*1000000+C30*'E Balans VL '!N18/100/3.6*1000000</f>
        <v>10191.407943516999</v>
      </c>
      <c r="G8" s="34"/>
      <c r="H8" s="33"/>
      <c r="I8" s="33"/>
      <c r="J8" s="40">
        <f>C30*'E Balans VL '!D18/100/3.6*1000000+C30*'E Balans VL '!E18/100/3.6*1000000</f>
        <v>0</v>
      </c>
      <c r="K8" s="33"/>
      <c r="L8" s="33"/>
      <c r="M8" s="33"/>
      <c r="N8" s="33">
        <f>C30*'E Balans VL '!Y18/100/3.6*1000000</f>
        <v>816.94496763840255</v>
      </c>
      <c r="O8" s="33"/>
      <c r="P8" s="33"/>
      <c r="R8" s="32"/>
    </row>
    <row r="9" spans="1:18">
      <c r="A9" s="6" t="s">
        <v>33</v>
      </c>
      <c r="B9" s="37">
        <f t="shared" si="0"/>
        <v>25907.824000000001</v>
      </c>
      <c r="C9" s="33"/>
      <c r="D9" s="37">
        <f>IF( ISERROR(IND_andere_gas_kWh/1000),0,IND_andere_gas_kWh/1000)*0.902</f>
        <v>53751.369916827549</v>
      </c>
      <c r="E9" s="33">
        <f>C31*'E Balans VL '!I19/100/3.6*1000000</f>
        <v>7123.5889891583165</v>
      </c>
      <c r="F9" s="33">
        <f>C31*'E Balans VL '!L19/100/3.6*1000000+C31*'E Balans VL '!N19/100/3.6*1000000</f>
        <v>20419.873597061669</v>
      </c>
      <c r="G9" s="34"/>
      <c r="H9" s="33"/>
      <c r="I9" s="33"/>
      <c r="J9" s="40">
        <f>C31*'E Balans VL '!D19/100/3.6*1000000+C31*'E Balans VL '!E19/100/3.6*1000000</f>
        <v>0</v>
      </c>
      <c r="K9" s="33"/>
      <c r="L9" s="33"/>
      <c r="M9" s="33"/>
      <c r="N9" s="33">
        <f>C31*'E Balans VL '!Y19/100/3.6*1000000</f>
        <v>8387.0464809183723</v>
      </c>
      <c r="O9" s="33"/>
      <c r="P9" s="33"/>
      <c r="R9" s="32"/>
    </row>
    <row r="10" spans="1:18">
      <c r="A10" s="6" t="s">
        <v>41</v>
      </c>
      <c r="B10" s="37">
        <f t="shared" si="0"/>
        <v>7749.7730000000001</v>
      </c>
      <c r="C10" s="33"/>
      <c r="D10" s="37">
        <f>IF( ISERROR(IND_voed_gas_kWh/1000),0,IND_voed_gas_kWh/1000)*0.902</f>
        <v>7602.8791687173216</v>
      </c>
      <c r="E10" s="33">
        <f>C32*'E Balans VL '!I20/100/3.6*1000000</f>
        <v>79.004666360693165</v>
      </c>
      <c r="F10" s="33">
        <f>C32*'E Balans VL '!L20/100/3.6*1000000+C32*'E Balans VL '!N20/100/3.6*1000000</f>
        <v>14639.272726848758</v>
      </c>
      <c r="G10" s="34"/>
      <c r="H10" s="33"/>
      <c r="I10" s="33"/>
      <c r="J10" s="40">
        <f>C32*'E Balans VL '!D20/100/3.6*1000000+C32*'E Balans VL '!E20/100/3.6*1000000</f>
        <v>185.47742526205892</v>
      </c>
      <c r="K10" s="33"/>
      <c r="L10" s="33"/>
      <c r="M10" s="33"/>
      <c r="N10" s="33">
        <f>C32*'E Balans VL '!Y20/100/3.6*1000000</f>
        <v>4085.0230353879097</v>
      </c>
      <c r="O10" s="33"/>
      <c r="P10" s="33"/>
      <c r="R10" s="32"/>
    </row>
    <row r="11" spans="1:18">
      <c r="A11" s="6" t="s">
        <v>40</v>
      </c>
      <c r="B11" s="37">
        <f t="shared" si="0"/>
        <v>361.66790000000003</v>
      </c>
      <c r="C11" s="33"/>
      <c r="D11" s="37">
        <f>IF( ISERROR(IND_textiel_gas_kWh/1000),0,IND_textiel_gas_kWh/1000)*0.902</f>
        <v>410.8085137378161</v>
      </c>
      <c r="E11" s="33">
        <f>C33*'E Balans VL '!I21/100/3.6*1000000</f>
        <v>0.95859686926675036</v>
      </c>
      <c r="F11" s="33">
        <f>C33*'E Balans VL '!L21/100/3.6*1000000+C33*'E Balans VL '!N21/100/3.6*1000000</f>
        <v>16.152461502219733</v>
      </c>
      <c r="G11" s="34"/>
      <c r="H11" s="33"/>
      <c r="I11" s="33"/>
      <c r="J11" s="40">
        <f>C33*'E Balans VL '!D21/100/3.6*1000000+C33*'E Balans VL '!E21/100/3.6*1000000</f>
        <v>0</v>
      </c>
      <c r="K11" s="33"/>
      <c r="L11" s="33"/>
      <c r="M11" s="33"/>
      <c r="N11" s="33">
        <f>C33*'E Balans VL '!Y21/100/3.6*1000000</f>
        <v>3.4084614220550047</v>
      </c>
      <c r="O11" s="33"/>
      <c r="P11" s="33"/>
      <c r="R11" s="32"/>
    </row>
    <row r="12" spans="1:18">
      <c r="A12" s="6" t="s">
        <v>37</v>
      </c>
      <c r="B12" s="37">
        <f t="shared" si="0"/>
        <v>71611.983999999997</v>
      </c>
      <c r="C12" s="33"/>
      <c r="D12" s="37">
        <f>IF( ISERROR(IND_min_gas_kWh/1000),0,IND_min_gas_kWh/1000)*0.902</f>
        <v>134.18815956204858</v>
      </c>
      <c r="E12" s="33">
        <f>C34*'E Balans VL '!I22/100/3.6*1000000</f>
        <v>216.88030564500889</v>
      </c>
      <c r="F12" s="33">
        <f>C34*'E Balans VL '!L22/100/3.6*1000000+C34*'E Balans VL '!N22/100/3.6*1000000</f>
        <v>2237.936067408195</v>
      </c>
      <c r="G12" s="34"/>
      <c r="H12" s="33"/>
      <c r="I12" s="33"/>
      <c r="J12" s="40">
        <f>C34*'E Balans VL '!D22/100/3.6*1000000+C34*'E Balans VL '!E22/100/3.6*1000000</f>
        <v>106.18467523071115</v>
      </c>
      <c r="K12" s="33"/>
      <c r="L12" s="33"/>
      <c r="M12" s="33"/>
      <c r="N12" s="33">
        <f>C34*'E Balans VL '!Y22/100/3.6*1000000</f>
        <v>0</v>
      </c>
      <c r="O12" s="33"/>
      <c r="P12" s="33"/>
      <c r="R12" s="32"/>
    </row>
    <row r="13" spans="1:18">
      <c r="A13" s="6" t="s">
        <v>39</v>
      </c>
      <c r="B13" s="37">
        <f t="shared" si="0"/>
        <v>14300.188</v>
      </c>
      <c r="C13" s="33"/>
      <c r="D13" s="37">
        <f>IF( ISERROR(IND_papier_gas_kWh/1000),0,IND_papier_gas_kWh/1000)*0.902</f>
        <v>2774.0205503499228</v>
      </c>
      <c r="E13" s="33">
        <f>C35*'E Balans VL '!I23/100/3.6*1000000</f>
        <v>29.616654587447435</v>
      </c>
      <c r="F13" s="33">
        <f>C35*'E Balans VL '!L23/100/3.6*1000000+C35*'E Balans VL '!N23/100/3.6*1000000</f>
        <v>283.60338520641642</v>
      </c>
      <c r="G13" s="34"/>
      <c r="H13" s="33"/>
      <c r="I13" s="33"/>
      <c r="J13" s="40">
        <f>C35*'E Balans VL '!D23/100/3.6*1000000+C35*'E Balans VL '!E23/100/3.6*1000000</f>
        <v>0</v>
      </c>
      <c r="K13" s="33"/>
      <c r="L13" s="33"/>
      <c r="M13" s="33"/>
      <c r="N13" s="33">
        <f>C35*'E Balans VL '!Y23/100/3.6*1000000</f>
        <v>6038.2239061569671</v>
      </c>
      <c r="O13" s="33"/>
      <c r="P13" s="33"/>
      <c r="R13" s="32"/>
    </row>
    <row r="14" spans="1:18">
      <c r="A14" s="6" t="s">
        <v>34</v>
      </c>
      <c r="B14" s="37">
        <f t="shared" si="0"/>
        <v>31866.311000000002</v>
      </c>
      <c r="C14" s="33"/>
      <c r="D14" s="37">
        <f>IF( ISERROR(IND_chemie_gas_kWh/1000),0,IND_chemie_gas_kWh/1000)*0.902</f>
        <v>12222.737634270778</v>
      </c>
      <c r="E14" s="33">
        <f>C36*'E Balans VL '!I24/100/3.6*1000000</f>
        <v>119.47203695090728</v>
      </c>
      <c r="F14" s="33">
        <f>C36*'E Balans VL '!L24/100/3.6*1000000+C36*'E Balans VL '!N24/100/3.6*1000000</f>
        <v>370.73114909901409</v>
      </c>
      <c r="G14" s="34"/>
      <c r="H14" s="33"/>
      <c r="I14" s="33"/>
      <c r="J14" s="40">
        <f>C36*'E Balans VL '!D24/100/3.6*1000000+C36*'E Balans VL '!E24/100/3.6*1000000</f>
        <v>0</v>
      </c>
      <c r="K14" s="33"/>
      <c r="L14" s="33"/>
      <c r="M14" s="33"/>
      <c r="N14" s="33">
        <f>C36*'E Balans VL '!Y24/100/3.6*1000000</f>
        <v>544.42063017074804</v>
      </c>
      <c r="O14" s="33"/>
      <c r="P14" s="33"/>
      <c r="R14" s="32"/>
    </row>
    <row r="15" spans="1:18">
      <c r="A15" s="6" t="s">
        <v>270</v>
      </c>
      <c r="B15" s="37">
        <f t="shared" si="0"/>
        <v>177000</v>
      </c>
      <c r="C15" s="33"/>
      <c r="D15" s="37">
        <f>IF( ISERROR(IND_rest_gas_kWh/1000),0,IND_rest_gas_kWh/1000)*0.902</f>
        <v>196253.69361108475</v>
      </c>
      <c r="E15" s="33">
        <f>C37*'E Balans VL '!I15/100/3.6*1000000</f>
        <v>9004.5405316976867</v>
      </c>
      <c r="F15" s="33">
        <f>C37*'E Balans VL '!L15/100/3.6*1000000+C37*'E Balans VL '!N15/100/3.6*1000000</f>
        <v>40344.959486069769</v>
      </c>
      <c r="G15" s="34"/>
      <c r="H15" s="33"/>
      <c r="I15" s="33"/>
      <c r="J15" s="40">
        <f>C37*'E Balans VL '!D15/100/3.6*1000000+C37*'E Balans VL '!E15/100/3.6*1000000</f>
        <v>742.57347387211939</v>
      </c>
      <c r="K15" s="33"/>
      <c r="L15" s="33"/>
      <c r="M15" s="33"/>
      <c r="N15" s="33">
        <f>C37*'E Balans VL '!Y15/100/3.6*1000000</f>
        <v>33255.446801555678</v>
      </c>
      <c r="O15" s="33"/>
      <c r="P15" s="33"/>
      <c r="R15" s="32"/>
    </row>
    <row r="16" spans="1:18">
      <c r="A16" s="16" t="s">
        <v>494</v>
      </c>
      <c r="B16" s="247">
        <f>'lokale energieproductie'!N89+'lokale energieproductie'!N58</f>
        <v>9900</v>
      </c>
      <c r="C16" s="247">
        <f>'lokale energieproductie'!O89+'lokale energieproductie'!O58</f>
        <v>11137.5</v>
      </c>
      <c r="D16" s="310">
        <f>('lokale energieproductie'!P58+'lokale energieproductie'!P89)*(-1)</f>
        <v>0</v>
      </c>
      <c r="E16" s="248"/>
      <c r="F16" s="310">
        <f>('lokale energieproductie'!S58+'lokale energieproductie'!S89)*(-1)</f>
        <v>-6187.5</v>
      </c>
      <c r="G16" s="249"/>
      <c r="H16" s="248"/>
      <c r="I16" s="248"/>
      <c r="J16" s="248"/>
      <c r="K16" s="248"/>
      <c r="L16" s="310">
        <f>('lokale energieproductie'!T58+'lokale energieproductie'!U58+'lokale energieproductie'!T89+'lokale energieproductie'!U89)*(-1)</f>
        <v>-18562.5</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371216.08289999998</v>
      </c>
      <c r="C18" s="21">
        <f>C5+C16</f>
        <v>11137.5</v>
      </c>
      <c r="D18" s="21">
        <f>MAX((D5+D16),0)</f>
        <v>284359.69630985655</v>
      </c>
      <c r="E18" s="21">
        <f>MAX((E5+E16),0)</f>
        <v>17387.881894585084</v>
      </c>
      <c r="F18" s="21">
        <f>MAX((F5+F16),0)</f>
        <v>82316.436816713045</v>
      </c>
      <c r="G18" s="21"/>
      <c r="H18" s="21"/>
      <c r="I18" s="21"/>
      <c r="J18" s="21">
        <f>MAX((J5+J16),0)</f>
        <v>1034.2355743648895</v>
      </c>
      <c r="K18" s="21"/>
      <c r="L18" s="21">
        <f>MAX((L5+L16),0)</f>
        <v>0</v>
      </c>
      <c r="M18" s="21"/>
      <c r="N18" s="21">
        <f>MAX((N5+N16),0)</f>
        <v>53130.51428325013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0.1997649967894887</v>
      </c>
      <c r="C20" s="25">
        <f ca="1">'EF ele_warmte'!B22</f>
        <v>0.11330765296662904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74155.979608725072</v>
      </c>
      <c r="C22" s="23">
        <f ca="1">C18*C20</f>
        <v>1261.9639849158309</v>
      </c>
      <c r="D22" s="23">
        <f>D18*D20</f>
        <v>57440.658654591025</v>
      </c>
      <c r="E22" s="23">
        <f>E18*E20</f>
        <v>3947.0491900708139</v>
      </c>
      <c r="F22" s="23">
        <f>F18*F20</f>
        <v>21978.488630062384</v>
      </c>
      <c r="G22" s="23"/>
      <c r="H22" s="23"/>
      <c r="I22" s="23"/>
      <c r="J22" s="23">
        <f>J18*J20</f>
        <v>366.1193933251709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32518.334999999999</v>
      </c>
      <c r="C30" s="39">
        <f>IF(ISERROR(B30*3.6/1000000/'E Balans VL '!Z18*100),0,B30*3.6/1000000/'E Balans VL '!Z18*100)</f>
        <v>4.5514832145143211</v>
      </c>
      <c r="D30" s="237" t="s">
        <v>692</v>
      </c>
    </row>
    <row r="31" spans="1:18">
      <c r="A31" s="6" t="s">
        <v>33</v>
      </c>
      <c r="B31" s="37">
        <f>IF( ISERROR(IND_ander_ele_kWh/1000),0,IND_ander_ele_kWh/1000)</f>
        <v>25907.824000000001</v>
      </c>
      <c r="C31" s="39">
        <f>IF(ISERROR(B31*3.6/1000000/'E Balans VL '!Z19*100),0,B31*3.6/1000000/'E Balans VL '!Z19*100)</f>
        <v>1.1339812536338307</v>
      </c>
      <c r="D31" s="237" t="s">
        <v>692</v>
      </c>
    </row>
    <row r="32" spans="1:18">
      <c r="A32" s="171" t="s">
        <v>41</v>
      </c>
      <c r="B32" s="37">
        <f>IF( ISERROR(IND_voed_ele_kWh/1000),0,IND_voed_ele_kWh/1000)</f>
        <v>7749.7730000000001</v>
      </c>
      <c r="C32" s="39">
        <f>IF(ISERROR(B32*3.6/1000000/'E Balans VL '!Z20*100),0,B32*3.6/1000000/'E Balans VL '!Z20*100)</f>
        <v>1.9185864375329411</v>
      </c>
      <c r="D32" s="237" t="s">
        <v>692</v>
      </c>
    </row>
    <row r="33" spans="1:5">
      <c r="A33" s="171" t="s">
        <v>40</v>
      </c>
      <c r="B33" s="37">
        <f>IF( ISERROR(IND_textiel_ele_kWh/1000),0,IND_textiel_ele_kWh/1000)</f>
        <v>361.66790000000003</v>
      </c>
      <c r="C33" s="39">
        <f>IF(ISERROR(B33*3.6/1000000/'E Balans VL '!Z21*100),0,B33*3.6/1000000/'E Balans VL '!Z21*100)</f>
        <v>4.0753601491246828E-2</v>
      </c>
      <c r="D33" s="237" t="s">
        <v>692</v>
      </c>
    </row>
    <row r="34" spans="1:5">
      <c r="A34" s="171" t="s">
        <v>37</v>
      </c>
      <c r="B34" s="37">
        <f>IF( ISERROR(IND_min_ele_kWh/1000),0,IND_min_ele_kWh/1000)</f>
        <v>71611.983999999997</v>
      </c>
      <c r="C34" s="39">
        <f>IF(ISERROR(B34*3.6/1000000/'E Balans VL '!Z22*100),0,B34*3.6/1000000/'E Balans VL '!Z22*100)</f>
        <v>2.0320559447273236</v>
      </c>
      <c r="D34" s="237" t="s">
        <v>692</v>
      </c>
    </row>
    <row r="35" spans="1:5">
      <c r="A35" s="171" t="s">
        <v>39</v>
      </c>
      <c r="B35" s="37">
        <f>IF( ISERROR(IND_papier_ele_kWh/1000),0,IND_papier_ele_kWh/1000)</f>
        <v>14300.188</v>
      </c>
      <c r="C35" s="39">
        <f>IF(ISERROR(B35*3.6/1000000/'E Balans VL '!Z22*100),0,B35*3.6/1000000/'E Balans VL '!Z22*100)</f>
        <v>0.40578099380849914</v>
      </c>
      <c r="D35" s="237" t="s">
        <v>692</v>
      </c>
    </row>
    <row r="36" spans="1:5">
      <c r="A36" s="171" t="s">
        <v>34</v>
      </c>
      <c r="B36" s="37">
        <f>IF( ISERROR(IND_chemie_ele_kWh/1000),0,IND_chemie_ele_kWh/1000)</f>
        <v>31866.311000000002</v>
      </c>
      <c r="C36" s="39">
        <f>IF(ISERROR(B36*3.6/1000000/'E Balans VL '!Z24*100),0,B36*3.6/1000000/'E Balans VL '!Z24*100)</f>
        <v>0.81254229177304982</v>
      </c>
      <c r="D36" s="237" t="s">
        <v>692</v>
      </c>
    </row>
    <row r="37" spans="1:5">
      <c r="A37" s="171" t="s">
        <v>270</v>
      </c>
      <c r="B37" s="37">
        <f>IF( ISERROR(IND_rest_ele_kWh/1000),0,IND_rest_ele_kWh/1000)</f>
        <v>177000</v>
      </c>
      <c r="C37" s="39">
        <f>IF(ISERROR(B37*3.6/1000000/'E Balans VL '!Z15*100),0,B37*3.6/1000000/'E Balans VL '!Z15*100)</f>
        <v>1.3124246963176558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3162.0052000000001</v>
      </c>
      <c r="C5" s="17">
        <f>'Eigen informatie GS &amp; warmtenet'!B60</f>
        <v>0</v>
      </c>
      <c r="D5" s="30">
        <f>IF(ISERROR(SUM(LB_lb_gas_kWh,LB_rest_gas_kWh,onbekend_gas_kWh)/1000),0,SUM(LB_lb_gas_kWh,LB_rest_gas_kWh,onbekend_gas_kWh)/1000)*0.902</f>
        <v>78298.572005539841</v>
      </c>
      <c r="E5" s="17">
        <f>B17*'E Balans VL '!I25/3.6*1000000/100</f>
        <v>29.287816531916359</v>
      </c>
      <c r="F5" s="17">
        <f>B17*('E Balans VL '!L25/3.6*1000000+'E Balans VL '!N25/3.6*1000000)/100</f>
        <v>8022.6095537724459</v>
      </c>
      <c r="G5" s="18"/>
      <c r="H5" s="17"/>
      <c r="I5" s="17"/>
      <c r="J5" s="17">
        <f>('E Balans VL '!D25+'E Balans VL '!E25)/3.6*1000000*landbouw!B17/100</f>
        <v>484.77068524102373</v>
      </c>
      <c r="K5" s="17"/>
      <c r="L5" s="17">
        <f>L6*(-1)</f>
        <v>0</v>
      </c>
      <c r="M5" s="17"/>
      <c r="N5" s="17">
        <f>N6*(-1)</f>
        <v>0</v>
      </c>
      <c r="O5" s="17"/>
      <c r="P5" s="17"/>
      <c r="R5" s="32"/>
    </row>
    <row r="6" spans="1:18">
      <c r="A6" s="16" t="s">
        <v>494</v>
      </c>
      <c r="B6" s="17" t="s">
        <v>211</v>
      </c>
      <c r="C6" s="17">
        <f>'lokale energieproductie'!O91+'lokale energieproductie'!O60</f>
        <v>39.375</v>
      </c>
      <c r="D6" s="310">
        <f>('lokale energieproductie'!P60+'lokale energieproductie'!P91)*(-1)</f>
        <v>-66.25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3162.0052000000001</v>
      </c>
      <c r="C8" s="21">
        <f>C5+C6</f>
        <v>39.375</v>
      </c>
      <c r="D8" s="21">
        <f>MAX((D5+D6),0)</f>
        <v>78232.322005539841</v>
      </c>
      <c r="E8" s="21">
        <f>MAX((E5+E6),0)</f>
        <v>29.287816531916359</v>
      </c>
      <c r="F8" s="21">
        <f>MAX((F5+F6),0)</f>
        <v>8022.6095537724459</v>
      </c>
      <c r="G8" s="21"/>
      <c r="H8" s="21"/>
      <c r="I8" s="21"/>
      <c r="J8" s="21">
        <f>MAX((J5+J6),0)</f>
        <v>484.77068524102373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0.1997649967894887</v>
      </c>
      <c r="C10" s="31">
        <f ca="1">'EF ele_warmte'!B22</f>
        <v>0.11330765296662904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631.65795862634661</v>
      </c>
      <c r="C12" s="23">
        <f ca="1">C8*C10</f>
        <v>4.4614888355610187</v>
      </c>
      <c r="D12" s="23">
        <f>D8*D10</f>
        <v>15802.929045119048</v>
      </c>
      <c r="E12" s="23">
        <f>E8*E10</f>
        <v>6.6483343527450138</v>
      </c>
      <c r="F12" s="23">
        <f>F8*F10</f>
        <v>2142.0367508572431</v>
      </c>
      <c r="G12" s="23"/>
      <c r="H12" s="23"/>
      <c r="I12" s="23"/>
      <c r="J12" s="23">
        <f>J8*J10</f>
        <v>171.60882257532239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0.4495700933409042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455.62652882061496</v>
      </c>
      <c r="C26" s="247">
        <f>B26*'GWP N2O_CH4'!B5</f>
        <v>9568.1571052329145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96.845049144346902</v>
      </c>
      <c r="C27" s="247">
        <f>B27*'GWP N2O_CH4'!B5</f>
        <v>2033.746032031285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5.707692251318071</v>
      </c>
      <c r="C28" s="247">
        <f>B28*'GWP N2O_CH4'!B4</f>
        <v>1769.384597908602</v>
      </c>
      <c r="D28" s="50"/>
    </row>
    <row r="29" spans="1:4">
      <c r="A29" s="41" t="s">
        <v>277</v>
      </c>
      <c r="B29" s="247">
        <f>B34*'ha_N2O bodem landbouw'!B4</f>
        <v>20.766272281987877</v>
      </c>
      <c r="C29" s="247">
        <f>B29*'GWP N2O_CH4'!B4</f>
        <v>6437.5444074162424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4.6575090269859367E-3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9.8264551695651219E-4</v>
      </c>
      <c r="C5" s="464" t="s">
        <v>211</v>
      </c>
      <c r="D5" s="449">
        <f>SUM(D6:D11)</f>
        <v>2.6770834361888908E-3</v>
      </c>
      <c r="E5" s="449">
        <f>SUM(E6:E11)</f>
        <v>1.888998138254128E-2</v>
      </c>
      <c r="F5" s="462" t="s">
        <v>211</v>
      </c>
      <c r="G5" s="449">
        <f>SUM(G6:G11)</f>
        <v>6.3523126947432296</v>
      </c>
      <c r="H5" s="449">
        <f>SUM(H6:H11)</f>
        <v>1.0300638923971486</v>
      </c>
      <c r="I5" s="464" t="s">
        <v>211</v>
      </c>
      <c r="J5" s="464" t="s">
        <v>211</v>
      </c>
      <c r="K5" s="464" t="s">
        <v>211</v>
      </c>
      <c r="L5" s="464" t="s">
        <v>211</v>
      </c>
      <c r="M5" s="449">
        <f>SUM(M6:M11)</f>
        <v>0.39916128905275439</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3.073653263237685E-4</v>
      </c>
      <c r="C6" s="450"/>
      <c r="D6" s="963">
        <f>vkm_2011_GW_PW*SUMIFS(TableVerdeelsleutelVkm[CNG],TableVerdeelsleutelVkm[Voertuigtype],"Lichte voertuigen")*SUMIFS(TableECFTransport[EnergieConsumptieFactor (PJ per km)],TableECFTransport[Index],CONCATENATE($A6,"_CNG_CNG"))</f>
        <v>7.1096983930751313E-4</v>
      </c>
      <c r="E6" s="963">
        <f>vkm_2011_GW_PW*SUMIFS(TableVerdeelsleutelVkm[LPG],TableVerdeelsleutelVkm[Voertuigtype],"Lichte voertuigen")*SUMIFS(TableECFTransport[EnergieConsumptieFactor (PJ per km)],TableECFTransport[Index],CONCATENATE($A6,"_LPG_LPG"))</f>
        <v>4.6294062509107522E-3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0.96172489902973357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0.27109037439764272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6.3976721860577221E-2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0.88379436886681106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3.0224162369904388E-4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5.1132513812768926E-2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1.9710160447797886E-4</v>
      </c>
      <c r="C8" s="450"/>
      <c r="D8" s="452">
        <f>vkm_2011_NGW_PW*SUMIFS(TableVerdeelsleutelVkm[CNG],TableVerdeelsleutelVkm[Voertuigtype],"Lichte voertuigen")*SUMIFS(TableECFTransport[EnergieConsumptieFactor (PJ per km)],TableECFTransport[Index],CONCATENATE($A8,"_CNG_CNG"))</f>
        <v>8.0638519182536274E-4</v>
      </c>
      <c r="E8" s="452">
        <f>vkm_2011_NGW_PW*SUMIFS(TableVerdeelsleutelVkm[LPG],TableVerdeelsleutelVkm[Voertuigtype],"Lichte voertuigen")*SUMIFS(TableECFTransport[EnergieConsumptieFactor (PJ per km)],TableECFTransport[Index],CONCATENATE($A8,"_LPG_LPG"))</f>
        <v>4.8458437431538335E-3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0.94105573606334247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0.29730364974318046</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6.3588095908326814E-2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0.40155702019576367</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1.2993917412422191E-4</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2.323212236521241E-2</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4.7817858615476481E-4</v>
      </c>
      <c r="C10" s="450"/>
      <c r="D10" s="452">
        <f>vkm_2011_SW_PW*SUMIFS(TableVerdeelsleutelVkm[CNG],TableVerdeelsleutelVkm[Voertuigtype],"Lichte voertuigen")*SUMIFS(TableECFTransport[EnergieConsumptieFactor (PJ per km)],TableECFTransport[Index],CONCATENATE($A10,"_CNG_CNG"))</f>
        <v>1.159728405056015E-3</v>
      </c>
      <c r="E10" s="452">
        <f>vkm_2011_SW_PW*SUMIFS(TableVerdeelsleutelVkm[LPG],TableVerdeelsleutelVkm[Voertuigtype],"Lichte voertuigen")*SUMIFS(TableECFTransport[EnergieConsumptieFactor (PJ per km)],TableECFTransport[Index],CONCATENATE($A10,"_LPG_LPG"))</f>
        <v>9.4147313884766944E-3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1.7608250899780489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0.4607204635503801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0.11603861183891322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1.4033555806095301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5.1722390812191884E-4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8.1193223266955855E-2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272.95708804347561</v>
      </c>
      <c r="C14" s="21"/>
      <c r="D14" s="21">
        <f t="shared" ref="D14:M14" si="0">((D5)*10^9/3600)+D12</f>
        <v>743.63428783024744</v>
      </c>
      <c r="E14" s="21">
        <f t="shared" si="0"/>
        <v>5247.2170507059109</v>
      </c>
      <c r="F14" s="21"/>
      <c r="G14" s="21">
        <f t="shared" si="0"/>
        <v>1764531.3040953416</v>
      </c>
      <c r="H14" s="21">
        <f t="shared" si="0"/>
        <v>286128.85899920797</v>
      </c>
      <c r="I14" s="21"/>
      <c r="J14" s="21"/>
      <c r="K14" s="21"/>
      <c r="L14" s="21"/>
      <c r="M14" s="21">
        <f t="shared" si="0"/>
        <v>110878.13584798733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0.1997649967894887</v>
      </c>
      <c r="C16" s="56">
        <f ca="1">'EF ele_warmte'!B22</f>
        <v>0.11330765296662904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54.527271816673085</v>
      </c>
      <c r="C18" s="23"/>
      <c r="D18" s="23">
        <f t="shared" ref="D18:M18" si="1">D14*D16</f>
        <v>150.21412614170998</v>
      </c>
      <c r="E18" s="23">
        <f t="shared" si="1"/>
        <v>1191.1182705102417</v>
      </c>
      <c r="F18" s="23"/>
      <c r="G18" s="23">
        <f t="shared" si="1"/>
        <v>471129.85819345625</v>
      </c>
      <c r="H18" s="23">
        <f t="shared" si="1"/>
        <v>71246.085890802788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3.2283824712907701E-2</v>
      </c>
      <c r="C50" s="321">
        <f t="shared" ref="C50:P50" si="2">SUM(C51:C52)</f>
        <v>0</v>
      </c>
      <c r="D50" s="321">
        <f t="shared" si="2"/>
        <v>0</v>
      </c>
      <c r="E50" s="321">
        <f t="shared" si="2"/>
        <v>0</v>
      </c>
      <c r="F50" s="321">
        <f t="shared" si="2"/>
        <v>0</v>
      </c>
      <c r="G50" s="321">
        <f t="shared" si="2"/>
        <v>0.12970301444143112</v>
      </c>
      <c r="H50" s="321">
        <f t="shared" si="2"/>
        <v>0</v>
      </c>
      <c r="I50" s="321">
        <f t="shared" si="2"/>
        <v>0</v>
      </c>
      <c r="J50" s="321">
        <f t="shared" si="2"/>
        <v>0</v>
      </c>
      <c r="K50" s="321">
        <f t="shared" si="2"/>
        <v>0</v>
      </c>
      <c r="L50" s="321">
        <f t="shared" si="2"/>
        <v>0</v>
      </c>
      <c r="M50" s="321">
        <f t="shared" si="2"/>
        <v>7.3965848088825984E-3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0.12970301444143112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7.3965848088825984E-3</v>
      </c>
      <c r="N51" s="323"/>
      <c r="O51" s="323"/>
      <c r="P51" s="326"/>
    </row>
    <row r="52" spans="1:18">
      <c r="A52" s="4" t="s">
        <v>330</v>
      </c>
      <c r="B52" s="964">
        <f>vkm_2011_tram*SUMIFS(TableECFTransport[EnergieConsumptieFactor (PJ per km)],TableECFTransport[Index],"Tram_gemiddeld_Electric_Electric")</f>
        <v>3.2283824712907701E-2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8967.7290869188055</v>
      </c>
      <c r="C54" s="21">
        <f t="shared" ref="C54:P54" si="3">(C50)*10^9/3600</f>
        <v>0</v>
      </c>
      <c r="D54" s="21">
        <f t="shared" si="3"/>
        <v>0</v>
      </c>
      <c r="E54" s="21">
        <f t="shared" si="3"/>
        <v>0</v>
      </c>
      <c r="F54" s="21">
        <f t="shared" si="3"/>
        <v>0</v>
      </c>
      <c r="G54" s="21">
        <f t="shared" si="3"/>
        <v>36028.615122619754</v>
      </c>
      <c r="H54" s="21">
        <f t="shared" si="3"/>
        <v>0</v>
      </c>
      <c r="I54" s="21">
        <f t="shared" si="3"/>
        <v>0</v>
      </c>
      <c r="J54" s="21">
        <f t="shared" si="3"/>
        <v>0</v>
      </c>
      <c r="K54" s="21">
        <f t="shared" si="3"/>
        <v>0</v>
      </c>
      <c r="L54" s="21">
        <f t="shared" si="3"/>
        <v>0</v>
      </c>
      <c r="M54" s="21">
        <f t="shared" si="3"/>
        <v>2054.6068913562776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0.1997649967894887</v>
      </c>
      <c r="C56" s="56">
        <f ca="1">'EF ele_warmte'!B22</f>
        <v>0.11330765296662904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1791.4383722573396</v>
      </c>
      <c r="C58" s="23">
        <f t="shared" ref="C58:P58" ca="1" si="4">C54*C56</f>
        <v>0</v>
      </c>
      <c r="D58" s="23">
        <f t="shared" si="4"/>
        <v>0</v>
      </c>
      <c r="E58" s="23">
        <f t="shared" si="4"/>
        <v>0</v>
      </c>
      <c r="F58" s="23">
        <f t="shared" si="4"/>
        <v>0</v>
      </c>
      <c r="G58" s="23">
        <f t="shared" si="4"/>
        <v>9619.6402377394752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79800.895603954152</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53145.175758459445</v>
      </c>
      <c r="C6" s="1223"/>
      <c r="D6" s="1226"/>
      <c r="E6" s="1226"/>
      <c r="F6" s="1229"/>
      <c r="G6" s="1232"/>
      <c r="H6" s="1220"/>
      <c r="I6" s="1226"/>
      <c r="J6" s="1226"/>
      <c r="K6" s="1226"/>
      <c r="L6" s="1256"/>
      <c r="M6" s="576"/>
      <c r="N6" s="1268"/>
      <c r="O6" s="1269"/>
      <c r="Q6" s="574"/>
      <c r="R6" s="1253"/>
      <c r="S6" s="1253"/>
    </row>
    <row r="7" spans="1:19" s="564" customFormat="1">
      <c r="A7" s="577" t="s">
        <v>252</v>
      </c>
      <c r="B7" s="578">
        <f>N57</f>
        <v>12395.8125</v>
      </c>
      <c r="C7" s="579">
        <f>B100</f>
        <v>3213.9065150510728</v>
      </c>
      <c r="D7" s="580"/>
      <c r="E7" s="580">
        <f>E100</f>
        <v>2828.9561983111817</v>
      </c>
      <c r="F7" s="581"/>
      <c r="G7" s="582"/>
      <c r="H7" s="580">
        <f>I100</f>
        <v>0</v>
      </c>
      <c r="I7" s="580">
        <f>G100+F100</f>
        <v>8539.7737498110528</v>
      </c>
      <c r="J7" s="580">
        <f>H100+D100+C100</f>
        <v>0</v>
      </c>
      <c r="K7" s="580"/>
      <c r="L7" s="583"/>
      <c r="M7" s="584">
        <f>C7*$C$11+D7*$D$11+E7*$E$11+F7*$F$11+G7*$G$11+H7*$H$11+I7*$I$11+J7*$J$11</f>
        <v>1404.5404209894023</v>
      </c>
      <c r="N7" s="1268"/>
      <c r="O7" s="1269"/>
      <c r="Q7" s="574"/>
      <c r="R7" s="1253"/>
      <c r="S7" s="1253"/>
    </row>
    <row r="8" spans="1:19" s="564" customFormat="1" ht="17.45" customHeight="1" thickBot="1">
      <c r="A8" s="585" t="s">
        <v>248</v>
      </c>
      <c r="B8" s="586">
        <f>N88+'Eigen informatie GS &amp; warmtenet'!B12</f>
        <v>1858.5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147200.38386241358</v>
      </c>
      <c r="C9" s="595">
        <f t="shared" ref="C9:L9" si="0">SUM(C7:C8)</f>
        <v>3213.9065150510728</v>
      </c>
      <c r="D9" s="595">
        <f t="shared" si="0"/>
        <v>0</v>
      </c>
      <c r="E9" s="595">
        <f t="shared" si="0"/>
        <v>2828.9561983111817</v>
      </c>
      <c r="F9" s="595">
        <f t="shared" si="0"/>
        <v>0</v>
      </c>
      <c r="G9" s="595">
        <f t="shared" si="0"/>
        <v>0</v>
      </c>
      <c r="H9" s="595">
        <f t="shared" si="0"/>
        <v>0</v>
      </c>
      <c r="I9" s="595">
        <f t="shared" si="0"/>
        <v>8539.7737498110528</v>
      </c>
      <c r="J9" s="595">
        <f t="shared" si="0"/>
        <v>5310</v>
      </c>
      <c r="K9" s="595">
        <f t="shared" si="0"/>
        <v>0</v>
      </c>
      <c r="L9" s="595">
        <f t="shared" si="0"/>
        <v>0</v>
      </c>
      <c r="M9" s="596">
        <f>SUM(M4:M8)</f>
        <v>1404.5404209894023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14716.339285714286</v>
      </c>
      <c r="C16" s="611">
        <f>B101</f>
        <v>3815.5577706632134</v>
      </c>
      <c r="D16" s="612"/>
      <c r="E16" s="612">
        <f>E101</f>
        <v>3358.5438016888183</v>
      </c>
      <c r="F16" s="613"/>
      <c r="G16" s="614"/>
      <c r="H16" s="611">
        <f>I101</f>
        <v>0</v>
      </c>
      <c r="I16" s="612">
        <f>G101+F101</f>
        <v>10138.440535903233</v>
      </c>
      <c r="J16" s="612">
        <f>H101+D101+C101</f>
        <v>0</v>
      </c>
      <c r="K16" s="612"/>
      <c r="L16" s="615"/>
      <c r="M16" s="616">
        <f>C16*$C$21+E16*$E$21+H16*$H$21+I16*$I$21+J16*$J$21+D16*$D$21+F16*$F$21+G16*$G$21+K16*$K$21+L16*$L$21</f>
        <v>1667.4738647248837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14716.339285714286</v>
      </c>
      <c r="C19" s="594">
        <f>SUM(C16:C18)</f>
        <v>3815.5577706632134</v>
      </c>
      <c r="D19" s="594">
        <f t="shared" ref="D19:M19" si="1">SUM(D16:D18)</f>
        <v>0</v>
      </c>
      <c r="E19" s="594">
        <f t="shared" si="1"/>
        <v>3358.5438016888183</v>
      </c>
      <c r="F19" s="594">
        <f t="shared" si="1"/>
        <v>0</v>
      </c>
      <c r="G19" s="594">
        <f t="shared" si="1"/>
        <v>0</v>
      </c>
      <c r="H19" s="594">
        <f t="shared" si="1"/>
        <v>0</v>
      </c>
      <c r="I19" s="594">
        <f t="shared" si="1"/>
        <v>10138.440535903233</v>
      </c>
      <c r="J19" s="594">
        <f t="shared" si="1"/>
        <v>0</v>
      </c>
      <c r="K19" s="594">
        <f t="shared" si="1"/>
        <v>0</v>
      </c>
      <c r="L19" s="594">
        <f t="shared" si="1"/>
        <v>0</v>
      </c>
      <c r="M19" s="621">
        <f t="shared" si="1"/>
        <v>1667.4738647248837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44021</v>
      </c>
      <c r="C27" s="852">
        <v>9042</v>
      </c>
      <c r="D27" s="673" t="s">
        <v>871</v>
      </c>
      <c r="E27" s="672" t="s">
        <v>872</v>
      </c>
      <c r="F27" s="672" t="s">
        <v>873</v>
      </c>
      <c r="G27" s="672" t="s">
        <v>874</v>
      </c>
      <c r="H27" s="672" t="s">
        <v>875</v>
      </c>
      <c r="I27" s="672" t="s">
        <v>876</v>
      </c>
      <c r="J27" s="851">
        <v>39812</v>
      </c>
      <c r="K27" s="851">
        <v>39812</v>
      </c>
      <c r="L27" s="672" t="s">
        <v>877</v>
      </c>
      <c r="M27" s="672">
        <v>2200</v>
      </c>
      <c r="N27" s="672">
        <v>9900</v>
      </c>
      <c r="O27" s="672">
        <v>11137.5</v>
      </c>
      <c r="P27" s="672">
        <v>0</v>
      </c>
      <c r="Q27" s="672">
        <v>0</v>
      </c>
      <c r="R27" s="672">
        <v>0</v>
      </c>
      <c r="S27" s="672">
        <v>6187.5</v>
      </c>
      <c r="T27" s="672">
        <v>18562.5</v>
      </c>
      <c r="U27" s="672">
        <v>0</v>
      </c>
      <c r="V27" s="672">
        <v>0</v>
      </c>
      <c r="W27" s="672">
        <v>0</v>
      </c>
      <c r="X27" s="672">
        <v>300</v>
      </c>
      <c r="Y27" s="672" t="s">
        <v>34</v>
      </c>
      <c r="Z27" s="674" t="s">
        <v>389</v>
      </c>
    </row>
    <row r="28" spans="1:26" s="626" customFormat="1" ht="63.75">
      <c r="A28" s="625"/>
      <c r="B28" s="852">
        <v>44021</v>
      </c>
      <c r="C28" s="852">
        <v>9031</v>
      </c>
      <c r="D28" s="673" t="s">
        <v>878</v>
      </c>
      <c r="E28" s="672" t="s">
        <v>879</v>
      </c>
      <c r="F28" s="672" t="s">
        <v>880</v>
      </c>
      <c r="G28" s="672" t="s">
        <v>874</v>
      </c>
      <c r="H28" s="672" t="s">
        <v>881</v>
      </c>
      <c r="I28" s="672" t="s">
        <v>879</v>
      </c>
      <c r="J28" s="851">
        <v>40096</v>
      </c>
      <c r="K28" s="851">
        <v>40179</v>
      </c>
      <c r="L28" s="672" t="s">
        <v>877</v>
      </c>
      <c r="M28" s="672">
        <v>9</v>
      </c>
      <c r="N28" s="672">
        <v>40.5</v>
      </c>
      <c r="O28" s="672">
        <v>57.857142857142861</v>
      </c>
      <c r="P28" s="672">
        <v>0</v>
      </c>
      <c r="Q28" s="672">
        <v>0</v>
      </c>
      <c r="R28" s="672">
        <v>0</v>
      </c>
      <c r="S28" s="672">
        <v>0</v>
      </c>
      <c r="T28" s="672">
        <v>0</v>
      </c>
      <c r="U28" s="672">
        <v>115.71428571428572</v>
      </c>
      <c r="V28" s="672">
        <v>0</v>
      </c>
      <c r="W28" s="672">
        <v>0</v>
      </c>
      <c r="X28" s="672">
        <v>1600</v>
      </c>
      <c r="Y28" s="672" t="s">
        <v>50</v>
      </c>
      <c r="Z28" s="674" t="s">
        <v>156</v>
      </c>
    </row>
    <row r="29" spans="1:26" s="626" customFormat="1" ht="25.5">
      <c r="A29" s="625"/>
      <c r="B29" s="852">
        <v>44021</v>
      </c>
      <c r="C29" s="852">
        <v>9040</v>
      </c>
      <c r="D29" s="673" t="s">
        <v>882</v>
      </c>
      <c r="E29" s="672" t="s">
        <v>883</v>
      </c>
      <c r="F29" s="672" t="s">
        <v>884</v>
      </c>
      <c r="G29" s="672" t="s">
        <v>874</v>
      </c>
      <c r="H29" s="672" t="s">
        <v>881</v>
      </c>
      <c r="I29" s="672" t="s">
        <v>883</v>
      </c>
      <c r="J29" s="851">
        <v>41003</v>
      </c>
      <c r="K29" s="851">
        <v>41003</v>
      </c>
      <c r="L29" s="672" t="s">
        <v>877</v>
      </c>
      <c r="M29" s="672">
        <v>70</v>
      </c>
      <c r="N29" s="672">
        <v>315.00000000000006</v>
      </c>
      <c r="O29" s="672">
        <v>450.00000000000011</v>
      </c>
      <c r="P29" s="672">
        <v>900.00000000000023</v>
      </c>
      <c r="Q29" s="672">
        <v>0</v>
      </c>
      <c r="R29" s="672">
        <v>0</v>
      </c>
      <c r="S29" s="672">
        <v>0</v>
      </c>
      <c r="T29" s="672">
        <v>0</v>
      </c>
      <c r="U29" s="672">
        <v>0</v>
      </c>
      <c r="V29" s="672">
        <v>0</v>
      </c>
      <c r="W29" s="672">
        <v>0</v>
      </c>
      <c r="X29" s="672">
        <v>1300</v>
      </c>
      <c r="Y29" s="672" t="s">
        <v>54</v>
      </c>
      <c r="Z29" s="674" t="s">
        <v>156</v>
      </c>
    </row>
    <row r="30" spans="1:26" s="626" customFormat="1" ht="25.5">
      <c r="A30" s="625"/>
      <c r="B30" s="852">
        <v>44021</v>
      </c>
      <c r="C30" s="852">
        <v>9000</v>
      </c>
      <c r="D30" s="673" t="s">
        <v>885</v>
      </c>
      <c r="E30" s="672" t="s">
        <v>886</v>
      </c>
      <c r="F30" s="672" t="s">
        <v>887</v>
      </c>
      <c r="G30" s="672" t="s">
        <v>874</v>
      </c>
      <c r="H30" s="672" t="s">
        <v>881</v>
      </c>
      <c r="I30" s="672" t="s">
        <v>886</v>
      </c>
      <c r="J30" s="851">
        <v>40928</v>
      </c>
      <c r="K30" s="851">
        <v>41030</v>
      </c>
      <c r="L30" s="672" t="s">
        <v>877</v>
      </c>
      <c r="M30" s="672">
        <v>5</v>
      </c>
      <c r="N30" s="672">
        <v>22.5</v>
      </c>
      <c r="O30" s="672">
        <v>32.142857142857146</v>
      </c>
      <c r="P30" s="672">
        <v>64.285714285714292</v>
      </c>
      <c r="Q30" s="672">
        <v>0</v>
      </c>
      <c r="R30" s="672">
        <v>0</v>
      </c>
      <c r="S30" s="672">
        <v>0</v>
      </c>
      <c r="T30" s="672">
        <v>0</v>
      </c>
      <c r="U30" s="672">
        <v>0</v>
      </c>
      <c r="V30" s="672">
        <v>0</v>
      </c>
      <c r="W30" s="672">
        <v>0</v>
      </c>
      <c r="X30" s="672">
        <v>1300</v>
      </c>
      <c r="Y30" s="672" t="s">
        <v>54</v>
      </c>
      <c r="Z30" s="674" t="s">
        <v>156</v>
      </c>
    </row>
    <row r="31" spans="1:26" s="626" customFormat="1" ht="38.25">
      <c r="A31" s="625"/>
      <c r="B31" s="852">
        <v>44021</v>
      </c>
      <c r="C31" s="852">
        <v>9000</v>
      </c>
      <c r="D31" s="673" t="s">
        <v>888</v>
      </c>
      <c r="E31" s="672" t="s">
        <v>889</v>
      </c>
      <c r="F31" s="672" t="s">
        <v>890</v>
      </c>
      <c r="G31" s="672" t="s">
        <v>874</v>
      </c>
      <c r="H31" s="672" t="s">
        <v>881</v>
      </c>
      <c r="I31" s="672" t="s">
        <v>889</v>
      </c>
      <c r="J31" s="851">
        <v>41618</v>
      </c>
      <c r="K31" s="851">
        <v>41660</v>
      </c>
      <c r="L31" s="672" t="s">
        <v>877</v>
      </c>
      <c r="M31" s="672">
        <v>509</v>
      </c>
      <c r="N31" s="672">
        <v>2099.625</v>
      </c>
      <c r="O31" s="672">
        <v>2999.4642857142858</v>
      </c>
      <c r="P31" s="672">
        <v>5998.9285714285716</v>
      </c>
      <c r="Q31" s="672">
        <v>0</v>
      </c>
      <c r="R31" s="672">
        <v>0</v>
      </c>
      <c r="S31" s="672">
        <v>0</v>
      </c>
      <c r="T31" s="672">
        <v>0</v>
      </c>
      <c r="U31" s="672">
        <v>0</v>
      </c>
      <c r="V31" s="672">
        <v>0</v>
      </c>
      <c r="W31" s="672">
        <v>0</v>
      </c>
      <c r="X31" s="672">
        <v>1501</v>
      </c>
      <c r="Y31" s="672" t="s">
        <v>51</v>
      </c>
      <c r="Z31" s="674" t="s">
        <v>156</v>
      </c>
    </row>
    <row r="32" spans="1:26" s="626" customFormat="1" ht="25.5">
      <c r="A32" s="625"/>
      <c r="B32" s="852">
        <v>44021</v>
      </c>
      <c r="C32" s="852">
        <v>9031</v>
      </c>
      <c r="D32" s="673" t="s">
        <v>891</v>
      </c>
      <c r="E32" s="672" t="s">
        <v>892</v>
      </c>
      <c r="F32" s="672" t="s">
        <v>893</v>
      </c>
      <c r="G32" s="672" t="s">
        <v>894</v>
      </c>
      <c r="H32" s="672" t="s">
        <v>894</v>
      </c>
      <c r="I32" s="672" t="s">
        <v>892</v>
      </c>
      <c r="J32" s="851">
        <v>41549</v>
      </c>
      <c r="K32" s="851">
        <v>41688</v>
      </c>
      <c r="L32" s="672" t="s">
        <v>877</v>
      </c>
      <c r="M32" s="672">
        <v>1</v>
      </c>
      <c r="N32" s="672">
        <v>3.75</v>
      </c>
      <c r="O32" s="672">
        <v>18.75</v>
      </c>
      <c r="P32" s="672">
        <v>25</v>
      </c>
      <c r="Q32" s="672">
        <v>0</v>
      </c>
      <c r="R32" s="672">
        <v>0</v>
      </c>
      <c r="S32" s="672">
        <v>0</v>
      </c>
      <c r="T32" s="672">
        <v>0</v>
      </c>
      <c r="U32" s="672">
        <v>0</v>
      </c>
      <c r="V32" s="672">
        <v>0</v>
      </c>
      <c r="W32" s="672">
        <v>0</v>
      </c>
      <c r="X32" s="672">
        <v>10</v>
      </c>
      <c r="Y32" s="672" t="s">
        <v>112</v>
      </c>
      <c r="Z32" s="674" t="s">
        <v>112</v>
      </c>
    </row>
    <row r="33" spans="1:26" s="626" customFormat="1" ht="38.25">
      <c r="A33" s="625"/>
      <c r="B33" s="852">
        <v>44021</v>
      </c>
      <c r="C33" s="852">
        <v>9050</v>
      </c>
      <c r="D33" s="673" t="s">
        <v>895</v>
      </c>
      <c r="E33" s="672" t="s">
        <v>896</v>
      </c>
      <c r="F33" s="672" t="s">
        <v>897</v>
      </c>
      <c r="G33" s="672" t="s">
        <v>874</v>
      </c>
      <c r="H33" s="672" t="s">
        <v>881</v>
      </c>
      <c r="I33" s="672" t="s">
        <v>896</v>
      </c>
      <c r="J33" s="851">
        <v>41767</v>
      </c>
      <c r="K33" s="851">
        <v>41767</v>
      </c>
      <c r="L33" s="672" t="s">
        <v>877</v>
      </c>
      <c r="M33" s="672">
        <v>5.5</v>
      </c>
      <c r="N33" s="672">
        <v>14.4375</v>
      </c>
      <c r="O33" s="672">
        <v>20.625</v>
      </c>
      <c r="P33" s="672">
        <v>41.25</v>
      </c>
      <c r="Q33" s="672">
        <v>0</v>
      </c>
      <c r="R33" s="672">
        <v>0</v>
      </c>
      <c r="S33" s="672">
        <v>0</v>
      </c>
      <c r="T33" s="672">
        <v>0</v>
      </c>
      <c r="U33" s="672">
        <v>0</v>
      </c>
      <c r="V33" s="672">
        <v>0</v>
      </c>
      <c r="W33" s="672">
        <v>0</v>
      </c>
      <c r="X33" s="672">
        <v>10</v>
      </c>
      <c r="Y33" s="672" t="s">
        <v>112</v>
      </c>
      <c r="Z33" s="674" t="s">
        <v>112</v>
      </c>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2799.5</v>
      </c>
      <c r="N57" s="630">
        <f>SUM(N27:N56)</f>
        <v>12395.8125</v>
      </c>
      <c r="O57" s="630">
        <f t="shared" ref="O57:W57" si="2">SUM(O27:O56)</f>
        <v>14716.339285714286</v>
      </c>
      <c r="P57" s="630">
        <f t="shared" si="2"/>
        <v>7029.4642857142862</v>
      </c>
      <c r="Q57" s="630">
        <f t="shared" si="2"/>
        <v>0</v>
      </c>
      <c r="R57" s="630">
        <f t="shared" si="2"/>
        <v>0</v>
      </c>
      <c r="S57" s="630">
        <f t="shared" si="2"/>
        <v>6187.5</v>
      </c>
      <c r="T57" s="630">
        <f t="shared" si="2"/>
        <v>18562.5</v>
      </c>
      <c r="U57" s="630">
        <f t="shared" si="2"/>
        <v>115.71428571428572</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2200</v>
      </c>
      <c r="N58" s="630">
        <f t="shared" ref="N58:W58" si="3">SUMIF($Z$27:$Z$56,"industrie",N27:N56)</f>
        <v>9900</v>
      </c>
      <c r="O58" s="630">
        <f t="shared" si="3"/>
        <v>11137.5</v>
      </c>
      <c r="P58" s="630">
        <f t="shared" si="3"/>
        <v>0</v>
      </c>
      <c r="Q58" s="630">
        <f t="shared" si="3"/>
        <v>0</v>
      </c>
      <c r="R58" s="630">
        <f t="shared" si="3"/>
        <v>0</v>
      </c>
      <c r="S58" s="630">
        <f t="shared" si="3"/>
        <v>6187.5</v>
      </c>
      <c r="T58" s="630">
        <f t="shared" si="3"/>
        <v>18562.5</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593</v>
      </c>
      <c r="N59" s="630">
        <f ca="1">SUMIF($Z$27:AB56,"tertiair",N27:N56)</f>
        <v>2477.625</v>
      </c>
      <c r="O59" s="630">
        <f ca="1">SUMIF($Z$27:AC56,"tertiair",O27:O56)</f>
        <v>3539.4642857142858</v>
      </c>
      <c r="P59" s="630">
        <f ca="1">SUMIF($Z$27:AD56,"tertiair",P27:P56)</f>
        <v>6963.2142857142862</v>
      </c>
      <c r="Q59" s="630">
        <f ca="1">SUMIF($Z$27:AE56,"tertiair",Q27:Q56)</f>
        <v>0</v>
      </c>
      <c r="R59" s="630">
        <f ca="1">SUMIF($Z$27:AF56,"tertiair",R27:R56)</f>
        <v>0</v>
      </c>
      <c r="S59" s="630">
        <f ca="1">SUMIF($Z$27:AG56,"tertiair",S27:S56)</f>
        <v>0</v>
      </c>
      <c r="T59" s="630">
        <f ca="1">SUMIF($Z$27:AH56,"tertiair",T27:T56)</f>
        <v>0</v>
      </c>
      <c r="U59" s="630">
        <f ca="1">SUMIF($Z$27:AI56,"tertiair",U27:U56)</f>
        <v>115.71428571428572</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6.5</v>
      </c>
      <c r="N60" s="635">
        <f t="shared" ref="N60:W60" si="4">SUMIF($Z$27:$Z$56,"landbouw",N27:N56)</f>
        <v>18.1875</v>
      </c>
      <c r="O60" s="635">
        <f t="shared" si="4"/>
        <v>39.375</v>
      </c>
      <c r="P60" s="635">
        <f t="shared" si="4"/>
        <v>66.25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44021</v>
      </c>
      <c r="C63" s="852">
        <v>9000</v>
      </c>
      <c r="D63" s="675" t="s">
        <v>898</v>
      </c>
      <c r="E63" s="675" t="s">
        <v>899</v>
      </c>
      <c r="F63" s="675" t="s">
        <v>900</v>
      </c>
      <c r="G63" s="675" t="s">
        <v>901</v>
      </c>
      <c r="H63" s="675" t="s">
        <v>902</v>
      </c>
      <c r="I63" s="675" t="s">
        <v>903</v>
      </c>
      <c r="J63" s="851">
        <v>38292</v>
      </c>
      <c r="K63" s="851">
        <v>38687</v>
      </c>
      <c r="L63" s="675" t="s">
        <v>904</v>
      </c>
      <c r="M63" s="675">
        <v>413</v>
      </c>
      <c r="N63" s="675">
        <v>1858.5</v>
      </c>
      <c r="O63" s="675">
        <v>0</v>
      </c>
      <c r="P63" s="675">
        <v>0</v>
      </c>
      <c r="Q63" s="675">
        <v>5310</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413</v>
      </c>
      <c r="N88" s="630">
        <f t="shared" ref="N88:W88" si="5">SUM(N63:N87)</f>
        <v>1858.5</v>
      </c>
      <c r="O88" s="630">
        <f t="shared" si="5"/>
        <v>0</v>
      </c>
      <c r="P88" s="630">
        <f t="shared" si="5"/>
        <v>0</v>
      </c>
      <c r="Q88" s="630">
        <f t="shared" si="5"/>
        <v>5310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413</v>
      </c>
      <c r="N90" s="630">
        <f t="shared" ref="N90:W90" si="7">SUMIF($Z$63:$Z$88,"tertiair",N63:N88)</f>
        <v>1858.5</v>
      </c>
      <c r="O90" s="630">
        <f t="shared" si="7"/>
        <v>0</v>
      </c>
      <c r="P90" s="630">
        <f t="shared" si="7"/>
        <v>0</v>
      </c>
      <c r="Q90" s="630">
        <f t="shared" si="7"/>
        <v>5310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0.54279495784869791</v>
      </c>
      <c r="C97" s="655">
        <f>IF(ISERROR(N57/(O57+N57)),0,N57/(N57+O57))</f>
        <v>0.45720504215130209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3213.9065150510728</v>
      </c>
      <c r="C100" s="664">
        <f t="shared" si="9"/>
        <v>0</v>
      </c>
      <c r="D100" s="664">
        <f t="shared" si="9"/>
        <v>0</v>
      </c>
      <c r="E100" s="664">
        <f t="shared" si="9"/>
        <v>2828.9561983111817</v>
      </c>
      <c r="F100" s="664">
        <f t="shared" si="9"/>
        <v>8486.868594933545</v>
      </c>
      <c r="G100" s="664">
        <f t="shared" si="9"/>
        <v>52.905154877507819</v>
      </c>
      <c r="H100" s="664">
        <f t="shared" si="9"/>
        <v>0</v>
      </c>
      <c r="I100" s="665">
        <f t="shared" si="9"/>
        <v>0</v>
      </c>
      <c r="J100" s="622"/>
      <c r="K100" s="622"/>
      <c r="L100" s="660"/>
      <c r="M100" s="647"/>
      <c r="N100" s="647"/>
    </row>
    <row r="101" spans="1:14" ht="15.75" thickBot="1">
      <c r="A101" s="666" t="s">
        <v>286</v>
      </c>
      <c r="B101" s="667">
        <f>$B$97*P57</f>
        <v>3815.5577706632134</v>
      </c>
      <c r="C101" s="667">
        <f t="shared" ref="C101:H101" si="10">$B$97*Q57</f>
        <v>0</v>
      </c>
      <c r="D101" s="667">
        <f t="shared" si="10"/>
        <v>0</v>
      </c>
      <c r="E101" s="667">
        <f t="shared" si="10"/>
        <v>3358.5438016888183</v>
      </c>
      <c r="F101" s="667">
        <f t="shared" si="10"/>
        <v>10075.631405066455</v>
      </c>
      <c r="G101" s="667">
        <f t="shared" si="10"/>
        <v>62.809130836777904</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695461.70700000005</v>
      </c>
      <c r="D10" s="719">
        <f ca="1">tertiair!C16</f>
        <v>3539.4642857142858</v>
      </c>
      <c r="E10" s="719">
        <f ca="1">tertiair!D16</f>
        <v>710482.77204088366</v>
      </c>
      <c r="F10" s="719">
        <f>tertiair!E16</f>
        <v>5692.3276775495469</v>
      </c>
      <c r="G10" s="719">
        <f ca="1">tertiair!F16</f>
        <v>108055.31322694053</v>
      </c>
      <c r="H10" s="719">
        <f>tertiair!G16</f>
        <v>0</v>
      </c>
      <c r="I10" s="719">
        <f>tertiair!H16</f>
        <v>0</v>
      </c>
      <c r="J10" s="719">
        <f>tertiair!I16</f>
        <v>0</v>
      </c>
      <c r="K10" s="719">
        <f>tertiair!J16</f>
        <v>0</v>
      </c>
      <c r="L10" s="719">
        <f>tertiair!K16</f>
        <v>0</v>
      </c>
      <c r="M10" s="719">
        <f ca="1">tertiair!L16</f>
        <v>0</v>
      </c>
      <c r="N10" s="719">
        <f>tertiair!M16</f>
        <v>0</v>
      </c>
      <c r="O10" s="719">
        <f ca="1">tertiair!N16</f>
        <v>41768.468510145009</v>
      </c>
      <c r="P10" s="719">
        <f>tertiair!O16</f>
        <v>37.520000000000003</v>
      </c>
      <c r="Q10" s="720">
        <f>tertiair!P16</f>
        <v>286</v>
      </c>
      <c r="R10" s="722">
        <f ca="1">SUM(C10:Q10)</f>
        <v>1565323.5727412333</v>
      </c>
      <c r="S10" s="67"/>
    </row>
    <row r="11" spans="1:19" s="475" customFormat="1">
      <c r="A11" s="871" t="s">
        <v>225</v>
      </c>
      <c r="B11" s="876"/>
      <c r="C11" s="719">
        <f>huishoudens!B8</f>
        <v>386741.96782155195</v>
      </c>
      <c r="D11" s="719">
        <f>huishoudens!C8</f>
        <v>0</v>
      </c>
      <c r="E11" s="719">
        <f>huishoudens!D8</f>
        <v>997754.39592284558</v>
      </c>
      <c r="F11" s="719">
        <f>huishoudens!E8</f>
        <v>18120.119868455706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70679.539176828708</v>
      </c>
      <c r="P11" s="719">
        <f>huishoudens!O8</f>
        <v>1794.7066666666669</v>
      </c>
      <c r="Q11" s="720">
        <f>huishoudens!P8</f>
        <v>3031.6</v>
      </c>
      <c r="R11" s="722">
        <f>SUM(C11:Q11)</f>
        <v>1478122.3294563489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371216.08289999998</v>
      </c>
      <c r="D13" s="719">
        <f>industrie!C18</f>
        <v>11137.5</v>
      </c>
      <c r="E13" s="719">
        <f>industrie!D18</f>
        <v>284359.69630985655</v>
      </c>
      <c r="F13" s="719">
        <f>industrie!E18</f>
        <v>17387.881894585084</v>
      </c>
      <c r="G13" s="719">
        <f>industrie!F18</f>
        <v>82316.436816713045</v>
      </c>
      <c r="H13" s="719">
        <f>industrie!G18</f>
        <v>0</v>
      </c>
      <c r="I13" s="719">
        <f>industrie!H18</f>
        <v>0</v>
      </c>
      <c r="J13" s="719">
        <f>industrie!I18</f>
        <v>0</v>
      </c>
      <c r="K13" s="719">
        <f>industrie!J18</f>
        <v>1034.2355743648895</v>
      </c>
      <c r="L13" s="719">
        <f>industrie!K18</f>
        <v>0</v>
      </c>
      <c r="M13" s="719">
        <f>industrie!L18</f>
        <v>0</v>
      </c>
      <c r="N13" s="719">
        <f>industrie!M18</f>
        <v>0</v>
      </c>
      <c r="O13" s="719">
        <f>industrie!N18</f>
        <v>53130.51428325013</v>
      </c>
      <c r="P13" s="719">
        <f>industrie!O18</f>
        <v>0</v>
      </c>
      <c r="Q13" s="720">
        <f>industrie!P18</f>
        <v>0</v>
      </c>
      <c r="R13" s="722">
        <f>SUM(C13:Q13)</f>
        <v>820582.34777876968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1453419.7577215519</v>
      </c>
      <c r="D15" s="724">
        <f t="shared" ref="D15:Q15" ca="1" si="0">SUM(D9:D14)</f>
        <v>14676.964285714286</v>
      </c>
      <c r="E15" s="724">
        <f t="shared" ca="1" si="0"/>
        <v>1992596.8642735858</v>
      </c>
      <c r="F15" s="724">
        <f t="shared" si="0"/>
        <v>41200.329440590336</v>
      </c>
      <c r="G15" s="724">
        <f t="shared" ca="1" si="0"/>
        <v>190371.75004365359</v>
      </c>
      <c r="H15" s="724">
        <f t="shared" si="0"/>
        <v>0</v>
      </c>
      <c r="I15" s="724">
        <f t="shared" si="0"/>
        <v>0</v>
      </c>
      <c r="J15" s="724">
        <f t="shared" si="0"/>
        <v>0</v>
      </c>
      <c r="K15" s="724">
        <f t="shared" si="0"/>
        <v>1034.2355743648895</v>
      </c>
      <c r="L15" s="724">
        <f t="shared" si="0"/>
        <v>0</v>
      </c>
      <c r="M15" s="724">
        <f t="shared" ca="1" si="0"/>
        <v>0</v>
      </c>
      <c r="N15" s="724">
        <f t="shared" si="0"/>
        <v>0</v>
      </c>
      <c r="O15" s="724">
        <f t="shared" ca="1" si="0"/>
        <v>165578.52197022387</v>
      </c>
      <c r="P15" s="724">
        <f t="shared" si="0"/>
        <v>1832.2266666666669</v>
      </c>
      <c r="Q15" s="725">
        <f t="shared" si="0"/>
        <v>3317.6</v>
      </c>
      <c r="R15" s="726">
        <f ca="1">SUM(R9:R14)</f>
        <v>3864028.2499763519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8967.7290869188055</v>
      </c>
      <c r="D18" s="719">
        <f>transport!C54</f>
        <v>0</v>
      </c>
      <c r="E18" s="719">
        <f>transport!D54</f>
        <v>0</v>
      </c>
      <c r="F18" s="719">
        <f>transport!E54</f>
        <v>0</v>
      </c>
      <c r="G18" s="719">
        <f>transport!F54</f>
        <v>0</v>
      </c>
      <c r="H18" s="719">
        <f>transport!G54</f>
        <v>36028.615122619754</v>
      </c>
      <c r="I18" s="719">
        <f>transport!H54</f>
        <v>0</v>
      </c>
      <c r="J18" s="719">
        <f>transport!I54</f>
        <v>0</v>
      </c>
      <c r="K18" s="719">
        <f>transport!J54</f>
        <v>0</v>
      </c>
      <c r="L18" s="719">
        <f>transport!K54</f>
        <v>0</v>
      </c>
      <c r="M18" s="719">
        <f>transport!L54</f>
        <v>0</v>
      </c>
      <c r="N18" s="719">
        <f>transport!M54</f>
        <v>2054.6068913562776</v>
      </c>
      <c r="O18" s="719">
        <f>transport!N54</f>
        <v>0</v>
      </c>
      <c r="P18" s="719">
        <f>transport!O54</f>
        <v>0</v>
      </c>
      <c r="Q18" s="720">
        <f>transport!P54</f>
        <v>0</v>
      </c>
      <c r="R18" s="722">
        <f>SUM(C18:Q18)</f>
        <v>47050.951100894839</v>
      </c>
      <c r="S18" s="67"/>
    </row>
    <row r="19" spans="1:19" s="475" customFormat="1" ht="15" thickBot="1">
      <c r="A19" s="871" t="s">
        <v>307</v>
      </c>
      <c r="B19" s="876"/>
      <c r="C19" s="728">
        <f>transport!B14</f>
        <v>272.95708804347561</v>
      </c>
      <c r="D19" s="728">
        <f>transport!C14</f>
        <v>0</v>
      </c>
      <c r="E19" s="728">
        <f>transport!D14</f>
        <v>743.63428783024744</v>
      </c>
      <c r="F19" s="728">
        <f>transport!E14</f>
        <v>5247.2170507059109</v>
      </c>
      <c r="G19" s="728">
        <f>transport!F14</f>
        <v>0</v>
      </c>
      <c r="H19" s="728">
        <f>transport!G14</f>
        <v>1764531.3040953416</v>
      </c>
      <c r="I19" s="728">
        <f>transport!H14</f>
        <v>286128.85899920797</v>
      </c>
      <c r="J19" s="728">
        <f>transport!I14</f>
        <v>0</v>
      </c>
      <c r="K19" s="728">
        <f>transport!J14</f>
        <v>0</v>
      </c>
      <c r="L19" s="728">
        <f>transport!K14</f>
        <v>0</v>
      </c>
      <c r="M19" s="728">
        <f>transport!L14</f>
        <v>0</v>
      </c>
      <c r="N19" s="728">
        <f>transport!M14</f>
        <v>110878.13584798733</v>
      </c>
      <c r="O19" s="728">
        <f>transport!N14</f>
        <v>0</v>
      </c>
      <c r="P19" s="728">
        <f>transport!O14</f>
        <v>0</v>
      </c>
      <c r="Q19" s="729">
        <f>transport!P14</f>
        <v>0</v>
      </c>
      <c r="R19" s="730">
        <f>SUM(C19:Q19)</f>
        <v>2167802.1073691165</v>
      </c>
      <c r="S19" s="67"/>
    </row>
    <row r="20" spans="1:19" s="475" customFormat="1" ht="15.75" thickBot="1">
      <c r="A20" s="731" t="s">
        <v>230</v>
      </c>
      <c r="B20" s="879"/>
      <c r="C20" s="874">
        <f>SUM(C17:C19)</f>
        <v>9240.6861749622803</v>
      </c>
      <c r="D20" s="732">
        <f t="shared" ref="D20:R20" si="1">SUM(D17:D19)</f>
        <v>0</v>
      </c>
      <c r="E20" s="732">
        <f t="shared" si="1"/>
        <v>743.63428783024744</v>
      </c>
      <c r="F20" s="732">
        <f t="shared" si="1"/>
        <v>5247.2170507059109</v>
      </c>
      <c r="G20" s="732">
        <f t="shared" si="1"/>
        <v>0</v>
      </c>
      <c r="H20" s="732">
        <f t="shared" si="1"/>
        <v>1800559.9192179614</v>
      </c>
      <c r="I20" s="732">
        <f t="shared" si="1"/>
        <v>286128.85899920797</v>
      </c>
      <c r="J20" s="732">
        <f t="shared" si="1"/>
        <v>0</v>
      </c>
      <c r="K20" s="732">
        <f t="shared" si="1"/>
        <v>0</v>
      </c>
      <c r="L20" s="732">
        <f t="shared" si="1"/>
        <v>0</v>
      </c>
      <c r="M20" s="732">
        <f t="shared" si="1"/>
        <v>0</v>
      </c>
      <c r="N20" s="732">
        <f t="shared" si="1"/>
        <v>112932.74273934361</v>
      </c>
      <c r="O20" s="732">
        <f t="shared" si="1"/>
        <v>0</v>
      </c>
      <c r="P20" s="732">
        <f t="shared" si="1"/>
        <v>0</v>
      </c>
      <c r="Q20" s="733">
        <f t="shared" si="1"/>
        <v>0</v>
      </c>
      <c r="R20" s="734">
        <f t="shared" si="1"/>
        <v>2214853.0584700112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3162.0052000000001</v>
      </c>
      <c r="D22" s="728">
        <f>+landbouw!C8</f>
        <v>39.375</v>
      </c>
      <c r="E22" s="728">
        <f>+landbouw!D8</f>
        <v>78232.322005539841</v>
      </c>
      <c r="F22" s="728">
        <f>+landbouw!E8</f>
        <v>29.287816531916359</v>
      </c>
      <c r="G22" s="728">
        <f>+landbouw!F8</f>
        <v>8022.6095537724459</v>
      </c>
      <c r="H22" s="728">
        <f>+landbouw!G8</f>
        <v>0</v>
      </c>
      <c r="I22" s="728">
        <f>+landbouw!H8</f>
        <v>0</v>
      </c>
      <c r="J22" s="728">
        <f>+landbouw!I8</f>
        <v>0</v>
      </c>
      <c r="K22" s="728">
        <f>+landbouw!J8</f>
        <v>484.77068524102373</v>
      </c>
      <c r="L22" s="728">
        <f>+landbouw!K8</f>
        <v>0</v>
      </c>
      <c r="M22" s="728">
        <f>+landbouw!L8</f>
        <v>0</v>
      </c>
      <c r="N22" s="728">
        <f>+landbouw!M8</f>
        <v>0</v>
      </c>
      <c r="O22" s="728">
        <f>+landbouw!N8</f>
        <v>0</v>
      </c>
      <c r="P22" s="728">
        <f>+landbouw!O8</f>
        <v>0</v>
      </c>
      <c r="Q22" s="729">
        <f>+landbouw!P8</f>
        <v>0</v>
      </c>
      <c r="R22" s="730">
        <f>SUM(C22:Q22)</f>
        <v>89970.37026108522</v>
      </c>
      <c r="S22" s="67"/>
    </row>
    <row r="23" spans="1:19" s="475" customFormat="1" ht="17.25" thickTop="1" thickBot="1">
      <c r="A23" s="735" t="s">
        <v>116</v>
      </c>
      <c r="B23" s="865"/>
      <c r="C23" s="736">
        <f ca="1">C20+C15+C22</f>
        <v>1465822.4490965141</v>
      </c>
      <c r="D23" s="736">
        <f t="shared" ref="D23:Q23" ca="1" si="2">D20+D15+D22</f>
        <v>14716.339285714286</v>
      </c>
      <c r="E23" s="736">
        <f t="shared" ca="1" si="2"/>
        <v>2071572.820566956</v>
      </c>
      <c r="F23" s="736">
        <f t="shared" si="2"/>
        <v>46476.834307828169</v>
      </c>
      <c r="G23" s="736">
        <f t="shared" ca="1" si="2"/>
        <v>198394.35959742602</v>
      </c>
      <c r="H23" s="736">
        <f t="shared" si="2"/>
        <v>1800559.9192179614</v>
      </c>
      <c r="I23" s="736">
        <f t="shared" si="2"/>
        <v>286128.85899920797</v>
      </c>
      <c r="J23" s="736">
        <f t="shared" si="2"/>
        <v>0</v>
      </c>
      <c r="K23" s="736">
        <f t="shared" si="2"/>
        <v>1519.0062596059133</v>
      </c>
      <c r="L23" s="736">
        <f t="shared" si="2"/>
        <v>0</v>
      </c>
      <c r="M23" s="736">
        <f t="shared" ca="1" si="2"/>
        <v>0</v>
      </c>
      <c r="N23" s="736">
        <f t="shared" si="2"/>
        <v>112932.74273934361</v>
      </c>
      <c r="O23" s="736">
        <f t="shared" ca="1" si="2"/>
        <v>165578.52197022387</v>
      </c>
      <c r="P23" s="736">
        <f t="shared" si="2"/>
        <v>1832.2266666666669</v>
      </c>
      <c r="Q23" s="737">
        <f t="shared" si="2"/>
        <v>3317.6</v>
      </c>
      <c r="R23" s="738">
        <f ca="1">R20+R15+R22</f>
        <v>6168851.6787074478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138928.90566606735</v>
      </c>
      <c r="D36" s="719">
        <f ca="1">tertiair!C20</f>
        <v>401.04839097349179</v>
      </c>
      <c r="E36" s="719">
        <f ca="1">tertiair!D20</f>
        <v>143517.5199522585</v>
      </c>
      <c r="F36" s="719">
        <f>tertiair!E20</f>
        <v>1292.1583828037471</v>
      </c>
      <c r="G36" s="719">
        <f ca="1">tertiair!F20</f>
        <v>28850.768631593124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312990.40102369623</v>
      </c>
    </row>
    <row r="37" spans="1:18">
      <c r="A37" s="886" t="s">
        <v>225</v>
      </c>
      <c r="B37" s="893"/>
      <c r="C37" s="719">
        <f ca="1">huishoudens!B12</f>
        <v>77257.507960232862</v>
      </c>
      <c r="D37" s="719">
        <f ca="1">huishoudens!C12</f>
        <v>0</v>
      </c>
      <c r="E37" s="719">
        <f>huishoudens!D12</f>
        <v>201546.38797641482</v>
      </c>
      <c r="F37" s="719">
        <f>huishoudens!E12</f>
        <v>4113.2672101394455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282917.16314678709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74155.979608725072</v>
      </c>
      <c r="D39" s="719">
        <f ca="1">industrie!C22</f>
        <v>1261.9639849158309</v>
      </c>
      <c r="E39" s="719">
        <f>industrie!D22</f>
        <v>57440.658654591025</v>
      </c>
      <c r="F39" s="719">
        <f>industrie!E22</f>
        <v>3947.0491900708139</v>
      </c>
      <c r="G39" s="719">
        <f>industrie!F22</f>
        <v>21978.488630062384</v>
      </c>
      <c r="H39" s="719">
        <f>industrie!G22</f>
        <v>0</v>
      </c>
      <c r="I39" s="719">
        <f>industrie!H22</f>
        <v>0</v>
      </c>
      <c r="J39" s="719">
        <f>industrie!I22</f>
        <v>0</v>
      </c>
      <c r="K39" s="719">
        <f>industrie!J22</f>
        <v>366.1193933251709</v>
      </c>
      <c r="L39" s="719">
        <f>industrie!K22</f>
        <v>0</v>
      </c>
      <c r="M39" s="719">
        <f>industrie!L22</f>
        <v>0</v>
      </c>
      <c r="N39" s="719">
        <f>industrie!M22</f>
        <v>0</v>
      </c>
      <c r="O39" s="719">
        <f>industrie!N22</f>
        <v>0</v>
      </c>
      <c r="P39" s="719">
        <f>industrie!O22</f>
        <v>0</v>
      </c>
      <c r="Q39" s="829">
        <f>industrie!P22</f>
        <v>0</v>
      </c>
      <c r="R39" s="919">
        <f ca="1">SUM(C39:Q39)</f>
        <v>159150.25946169029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290342.39323502529</v>
      </c>
      <c r="D41" s="764">
        <f t="shared" ref="D41:R41" ca="1" si="4">SUM(D35:D40)</f>
        <v>1663.0123758893228</v>
      </c>
      <c r="E41" s="764">
        <f t="shared" ca="1" si="4"/>
        <v>402504.56658326433</v>
      </c>
      <c r="F41" s="764">
        <f t="shared" si="4"/>
        <v>9352.4747830140077</v>
      </c>
      <c r="G41" s="764">
        <f t="shared" ca="1" si="4"/>
        <v>50829.257261655512</v>
      </c>
      <c r="H41" s="764">
        <f t="shared" si="4"/>
        <v>0</v>
      </c>
      <c r="I41" s="764">
        <f t="shared" si="4"/>
        <v>0</v>
      </c>
      <c r="J41" s="764">
        <f t="shared" si="4"/>
        <v>0</v>
      </c>
      <c r="K41" s="764">
        <f t="shared" si="4"/>
        <v>366.1193933251709</v>
      </c>
      <c r="L41" s="764">
        <f t="shared" si="4"/>
        <v>0</v>
      </c>
      <c r="M41" s="764">
        <f t="shared" ca="1" si="4"/>
        <v>0</v>
      </c>
      <c r="N41" s="764">
        <f t="shared" si="4"/>
        <v>0</v>
      </c>
      <c r="O41" s="764">
        <f t="shared" ca="1" si="4"/>
        <v>0</v>
      </c>
      <c r="P41" s="764">
        <f t="shared" si="4"/>
        <v>0</v>
      </c>
      <c r="Q41" s="765">
        <f t="shared" si="4"/>
        <v>0</v>
      </c>
      <c r="R41" s="766">
        <f t="shared" ca="1" si="4"/>
        <v>755057.82363217359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1791.4383722573396</v>
      </c>
      <c r="D44" s="719">
        <f ca="1">transport!C58</f>
        <v>0</v>
      </c>
      <c r="E44" s="719">
        <f>transport!D58</f>
        <v>0</v>
      </c>
      <c r="F44" s="719">
        <f>transport!E58</f>
        <v>0</v>
      </c>
      <c r="G44" s="719">
        <f>transport!F58</f>
        <v>0</v>
      </c>
      <c r="H44" s="719">
        <f>transport!G58</f>
        <v>9619.6402377394752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11411.078609996815</v>
      </c>
    </row>
    <row r="45" spans="1:18" ht="15" thickBot="1">
      <c r="A45" s="889" t="s">
        <v>307</v>
      </c>
      <c r="B45" s="899"/>
      <c r="C45" s="728">
        <f ca="1">transport!B18</f>
        <v>54.527271816673085</v>
      </c>
      <c r="D45" s="728">
        <f>transport!C18</f>
        <v>0</v>
      </c>
      <c r="E45" s="728">
        <f>transport!D18</f>
        <v>150.21412614170998</v>
      </c>
      <c r="F45" s="728">
        <f>transport!E18</f>
        <v>1191.1182705102417</v>
      </c>
      <c r="G45" s="728">
        <f>transport!F18</f>
        <v>0</v>
      </c>
      <c r="H45" s="728">
        <f>transport!G18</f>
        <v>471129.85819345625</v>
      </c>
      <c r="I45" s="728">
        <f>transport!H18</f>
        <v>71246.085890802788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543771.80375272769</v>
      </c>
    </row>
    <row r="46" spans="1:18" ht="15.75" thickBot="1">
      <c r="A46" s="887" t="s">
        <v>230</v>
      </c>
      <c r="B46" s="900"/>
      <c r="C46" s="764">
        <f t="shared" ref="C46:R46" ca="1" si="5">SUM(C43:C45)</f>
        <v>1845.9656440740127</v>
      </c>
      <c r="D46" s="764">
        <f t="shared" ca="1" si="5"/>
        <v>0</v>
      </c>
      <c r="E46" s="764">
        <f t="shared" si="5"/>
        <v>150.21412614170998</v>
      </c>
      <c r="F46" s="764">
        <f t="shared" si="5"/>
        <v>1191.1182705102417</v>
      </c>
      <c r="G46" s="764">
        <f t="shared" si="5"/>
        <v>0</v>
      </c>
      <c r="H46" s="764">
        <f t="shared" si="5"/>
        <v>480749.49843119574</v>
      </c>
      <c r="I46" s="764">
        <f t="shared" si="5"/>
        <v>71246.085890802788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555182.88236272451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631.65795862634661</v>
      </c>
      <c r="D48" s="719">
        <f ca="1">+landbouw!C12</f>
        <v>4.4614888355610187</v>
      </c>
      <c r="E48" s="719">
        <f>+landbouw!D12</f>
        <v>15802.929045119048</v>
      </c>
      <c r="F48" s="719">
        <f>+landbouw!E12</f>
        <v>6.6483343527450138</v>
      </c>
      <c r="G48" s="719">
        <f>+landbouw!F12</f>
        <v>2142.0367508572431</v>
      </c>
      <c r="H48" s="719">
        <f>+landbouw!G12</f>
        <v>0</v>
      </c>
      <c r="I48" s="719">
        <f>+landbouw!H12</f>
        <v>0</v>
      </c>
      <c r="J48" s="719">
        <f>+landbouw!I12</f>
        <v>0</v>
      </c>
      <c r="K48" s="719">
        <f>+landbouw!J12</f>
        <v>171.60882257532239</v>
      </c>
      <c r="L48" s="719">
        <f>+landbouw!K12</f>
        <v>0</v>
      </c>
      <c r="M48" s="719">
        <f>+landbouw!L12</f>
        <v>0</v>
      </c>
      <c r="N48" s="719">
        <f>+landbouw!M12</f>
        <v>0</v>
      </c>
      <c r="O48" s="719">
        <f>+landbouw!N12</f>
        <v>0</v>
      </c>
      <c r="P48" s="719">
        <f>+landbouw!O12</f>
        <v>0</v>
      </c>
      <c r="Q48" s="720">
        <f>+landbouw!P12</f>
        <v>0</v>
      </c>
      <c r="R48" s="762">
        <f ca="1">SUM(C48:Q48)</f>
        <v>18759.342400366262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292820.01683772565</v>
      </c>
      <c r="D53" s="774">
        <f t="shared" ref="D53:Q53" ca="1" si="6">D41+D46+D48</f>
        <v>1667.4738647248839</v>
      </c>
      <c r="E53" s="774">
        <f t="shared" ca="1" si="6"/>
        <v>418457.70975452504</v>
      </c>
      <c r="F53" s="774">
        <f t="shared" si="6"/>
        <v>10550.241387876995</v>
      </c>
      <c r="G53" s="774">
        <f t="shared" ca="1" si="6"/>
        <v>52971.294012512757</v>
      </c>
      <c r="H53" s="774">
        <f t="shared" si="6"/>
        <v>480749.49843119574</v>
      </c>
      <c r="I53" s="774">
        <f t="shared" si="6"/>
        <v>71246.085890802788</v>
      </c>
      <c r="J53" s="774">
        <f t="shared" si="6"/>
        <v>0</v>
      </c>
      <c r="K53" s="774">
        <f t="shared" si="6"/>
        <v>537.7282159004933</v>
      </c>
      <c r="L53" s="774">
        <f t="shared" si="6"/>
        <v>0</v>
      </c>
      <c r="M53" s="774">
        <f t="shared" ca="1" si="6"/>
        <v>0</v>
      </c>
      <c r="N53" s="774">
        <f t="shared" si="6"/>
        <v>0</v>
      </c>
      <c r="O53" s="774">
        <f t="shared" ca="1" si="6"/>
        <v>0</v>
      </c>
      <c r="P53" s="774">
        <f>P41+P46+P48</f>
        <v>0</v>
      </c>
      <c r="Q53" s="775">
        <f t="shared" si="6"/>
        <v>0</v>
      </c>
      <c r="R53" s="776">
        <f ca="1">R41+R46+R48</f>
        <v>1329000.0483952642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0.19976499678948872</v>
      </c>
      <c r="D55" s="837">
        <f t="shared" ca="1" si="7"/>
        <v>0.11330765296662905</v>
      </c>
      <c r="E55" s="837">
        <f t="shared" ca="1" si="7"/>
        <v>0.20199999999999999</v>
      </c>
      <c r="F55" s="837">
        <f t="shared" si="7"/>
        <v>0.22700000000000001</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79800.895603954152</v>
      </c>
      <c r="C64" s="796">
        <f>'lokale energieproductie'!B4</f>
        <v>79800.895603954152</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53145.175758459445</v>
      </c>
      <c r="C66" s="796">
        <f>'lokale energieproductie'!B6</f>
        <v>53145.175758459445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12395.8125</v>
      </c>
      <c r="C67" s="795">
        <f>B67*IFERROR(SUM(J67:L67)/SUM(D67:M67),0)</f>
        <v>7259.1423685566006</v>
      </c>
      <c r="D67" s="827">
        <f>'lokale energieproductie'!C7</f>
        <v>3213.9065150510728</v>
      </c>
      <c r="E67" s="828">
        <f>'lokale energieproductie'!D7</f>
        <v>0</v>
      </c>
      <c r="F67" s="828">
        <f>'lokale energieproductie'!E7</f>
        <v>2828.9561983111817</v>
      </c>
      <c r="G67" s="828">
        <f>'lokale energieproductie'!F7</f>
        <v>0</v>
      </c>
      <c r="H67" s="828">
        <f>'lokale energieproductie'!G7</f>
        <v>0</v>
      </c>
      <c r="I67" s="828">
        <f>'lokale energieproductie'!H7</f>
        <v>0</v>
      </c>
      <c r="J67" s="828">
        <f>'lokale energieproductie'!I7</f>
        <v>8539.7737498110528</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1404.5404209894023</v>
      </c>
      <c r="P67" s="923">
        <v>0</v>
      </c>
      <c r="Q67" s="786"/>
      <c r="R67" s="743"/>
    </row>
    <row r="68" spans="1:18" ht="30.75" thickBot="1">
      <c r="A68" s="802" t="s">
        <v>353</v>
      </c>
      <c r="B68" s="795">
        <f>'lokale energieproductie'!B8</f>
        <v>1858.5</v>
      </c>
      <c r="C68" s="795">
        <f>B68*IFERROR(SUM(J68:L68)/SUM(D68:M68),0)</f>
        <v>1858.5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5310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147200.38386241358</v>
      </c>
      <c r="C69" s="804">
        <f>SUM(C64:C68)</f>
        <v>142063.71373097019</v>
      </c>
      <c r="D69" s="805">
        <f t="shared" ref="D69:M69" si="8">SUM(D67:D68)</f>
        <v>3213.9065150510728</v>
      </c>
      <c r="E69" s="805">
        <f t="shared" si="8"/>
        <v>0</v>
      </c>
      <c r="F69" s="805">
        <f t="shared" si="8"/>
        <v>2828.9561983111817</v>
      </c>
      <c r="G69" s="805">
        <f t="shared" si="8"/>
        <v>0</v>
      </c>
      <c r="H69" s="805">
        <f t="shared" si="8"/>
        <v>0</v>
      </c>
      <c r="I69" s="805">
        <f t="shared" si="8"/>
        <v>0</v>
      </c>
      <c r="J69" s="805">
        <f t="shared" si="8"/>
        <v>8539.7737498110528</v>
      </c>
      <c r="K69" s="805">
        <f t="shared" si="8"/>
        <v>5310</v>
      </c>
      <c r="L69" s="805">
        <f t="shared" si="8"/>
        <v>0</v>
      </c>
      <c r="M69" s="931">
        <f t="shared" si="8"/>
        <v>0</v>
      </c>
      <c r="N69" s="806">
        <v>0</v>
      </c>
      <c r="O69" s="806">
        <f>SUM(O67:O68)</f>
        <v>1404.5404209894023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14716.339285714286</v>
      </c>
      <c r="C78" s="818">
        <f>B78*IFERROR(SUM(I78:L78)/SUM(D78:M78),0)</f>
        <v>8618.0717898873154</v>
      </c>
      <c r="D78" s="833">
        <f>'lokale energieproductie'!C16</f>
        <v>3815.5577706632134</v>
      </c>
      <c r="E78" s="833">
        <f>'lokale energieproductie'!D16</f>
        <v>0</v>
      </c>
      <c r="F78" s="833">
        <f>'lokale energieproductie'!E16</f>
        <v>3358.5438016888183</v>
      </c>
      <c r="G78" s="833">
        <f>'lokale energieproductie'!F16</f>
        <v>0</v>
      </c>
      <c r="H78" s="833">
        <f>'lokale energieproductie'!G16</f>
        <v>0</v>
      </c>
      <c r="I78" s="833">
        <f>'lokale energieproductie'!H16</f>
        <v>0</v>
      </c>
      <c r="J78" s="833">
        <f>'lokale energieproductie'!I16</f>
        <v>10138.440535903233</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1667.4738647248837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14716.339285714286</v>
      </c>
      <c r="C81" s="804">
        <f>SUM(C78:C80)</f>
        <v>8618.0717898873154</v>
      </c>
      <c r="D81" s="804">
        <f t="shared" ref="D81:P81" si="9">SUM(D78:D80)</f>
        <v>3815.5577706632134</v>
      </c>
      <c r="E81" s="804">
        <f t="shared" si="9"/>
        <v>0</v>
      </c>
      <c r="F81" s="804">
        <f t="shared" si="9"/>
        <v>3358.5438016888183</v>
      </c>
      <c r="G81" s="804">
        <f t="shared" si="9"/>
        <v>0</v>
      </c>
      <c r="H81" s="804">
        <f t="shared" si="9"/>
        <v>0</v>
      </c>
      <c r="I81" s="804">
        <f t="shared" si="9"/>
        <v>0</v>
      </c>
      <c r="J81" s="804">
        <f t="shared" si="9"/>
        <v>10138.440535903233</v>
      </c>
      <c r="K81" s="804">
        <f t="shared" si="9"/>
        <v>0</v>
      </c>
      <c r="L81" s="804">
        <f t="shared" si="9"/>
        <v>0</v>
      </c>
      <c r="M81" s="804">
        <f t="shared" si="9"/>
        <v>0</v>
      </c>
      <c r="N81" s="804">
        <v>0</v>
      </c>
      <c r="O81" s="804">
        <f>SUM(O78:O80)</f>
        <v>1667.4738647248837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386741.96782155195</v>
      </c>
      <c r="C4" s="479">
        <f>huishoudens!C8</f>
        <v>0</v>
      </c>
      <c r="D4" s="479">
        <f>huishoudens!D8</f>
        <v>997754.39592284558</v>
      </c>
      <c r="E4" s="479">
        <f>huishoudens!E8</f>
        <v>18120.119868455706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70679.539176828708</v>
      </c>
      <c r="O4" s="479">
        <f>huishoudens!O8</f>
        <v>1794.7066666666669</v>
      </c>
      <c r="P4" s="480">
        <f>huishoudens!P8</f>
        <v>3031.6</v>
      </c>
      <c r="Q4" s="481">
        <f>SUM(B4:P4)</f>
        <v>1478122.3294563489</v>
      </c>
    </row>
    <row r="5" spans="1:17">
      <c r="A5" s="478" t="s">
        <v>156</v>
      </c>
      <c r="B5" s="479">
        <f ca="1">tertiair!B16</f>
        <v>680969.32700000005</v>
      </c>
      <c r="C5" s="479">
        <f ca="1">tertiair!C16</f>
        <v>3539.4642857142858</v>
      </c>
      <c r="D5" s="479">
        <f ca="1">tertiair!D16</f>
        <v>710482.77204088366</v>
      </c>
      <c r="E5" s="479">
        <f>tertiair!E16</f>
        <v>5692.3276775495469</v>
      </c>
      <c r="F5" s="479">
        <f ca="1">tertiair!F16</f>
        <v>108055.31322694053</v>
      </c>
      <c r="G5" s="479">
        <f>tertiair!G16</f>
        <v>0</v>
      </c>
      <c r="H5" s="479">
        <f>tertiair!H16</f>
        <v>0</v>
      </c>
      <c r="I5" s="479">
        <f>tertiair!I16</f>
        <v>0</v>
      </c>
      <c r="J5" s="479">
        <f>tertiair!J16</f>
        <v>0</v>
      </c>
      <c r="K5" s="479">
        <f>tertiair!K16</f>
        <v>0</v>
      </c>
      <c r="L5" s="479">
        <f ca="1">tertiair!L16</f>
        <v>0</v>
      </c>
      <c r="M5" s="479">
        <f>tertiair!M16</f>
        <v>0</v>
      </c>
      <c r="N5" s="479">
        <f ca="1">tertiair!N16</f>
        <v>41768.468510145009</v>
      </c>
      <c r="O5" s="479">
        <f>tertiair!O16</f>
        <v>37.520000000000003</v>
      </c>
      <c r="P5" s="480">
        <f>tertiair!P16</f>
        <v>286</v>
      </c>
      <c r="Q5" s="478">
        <f t="shared" ref="Q5:Q13" ca="1" si="0">SUM(B5:P5)</f>
        <v>1550831.1927412334</v>
      </c>
    </row>
    <row r="6" spans="1:17">
      <c r="A6" s="478" t="s">
        <v>194</v>
      </c>
      <c r="B6" s="479">
        <f>'openbare verlichting'!B8</f>
        <v>14492.38</v>
      </c>
      <c r="C6" s="479"/>
      <c r="D6" s="479"/>
      <c r="E6" s="479"/>
      <c r="F6" s="479"/>
      <c r="G6" s="479"/>
      <c r="H6" s="479"/>
      <c r="I6" s="479"/>
      <c r="J6" s="479"/>
      <c r="K6" s="479"/>
      <c r="L6" s="479"/>
      <c r="M6" s="479"/>
      <c r="N6" s="479"/>
      <c r="O6" s="479"/>
      <c r="P6" s="480"/>
      <c r="Q6" s="478">
        <f t="shared" si="0"/>
        <v>14492.38</v>
      </c>
    </row>
    <row r="7" spans="1:17">
      <c r="A7" s="478" t="s">
        <v>112</v>
      </c>
      <c r="B7" s="479">
        <f>landbouw!B8</f>
        <v>3162.0052000000001</v>
      </c>
      <c r="C7" s="479">
        <f>landbouw!C8</f>
        <v>39.375</v>
      </c>
      <c r="D7" s="479">
        <f>landbouw!D8</f>
        <v>78232.322005539841</v>
      </c>
      <c r="E7" s="479">
        <f>landbouw!E8</f>
        <v>29.287816531916359</v>
      </c>
      <c r="F7" s="479">
        <f>landbouw!F8</f>
        <v>8022.6095537724459</v>
      </c>
      <c r="G7" s="479">
        <f>landbouw!G8</f>
        <v>0</v>
      </c>
      <c r="H7" s="479">
        <f>landbouw!H8</f>
        <v>0</v>
      </c>
      <c r="I7" s="479">
        <f>landbouw!I8</f>
        <v>0</v>
      </c>
      <c r="J7" s="479">
        <f>landbouw!J8</f>
        <v>484.77068524102373</v>
      </c>
      <c r="K7" s="479">
        <f>landbouw!K8</f>
        <v>0</v>
      </c>
      <c r="L7" s="479">
        <f>landbouw!L8</f>
        <v>0</v>
      </c>
      <c r="M7" s="479">
        <f>landbouw!M8</f>
        <v>0</v>
      </c>
      <c r="N7" s="479">
        <f>landbouw!N8</f>
        <v>0</v>
      </c>
      <c r="O7" s="479">
        <f>landbouw!O8</f>
        <v>0</v>
      </c>
      <c r="P7" s="480">
        <f>landbouw!P8</f>
        <v>0</v>
      </c>
      <c r="Q7" s="478">
        <f t="shared" si="0"/>
        <v>89970.37026108522</v>
      </c>
    </row>
    <row r="8" spans="1:17">
      <c r="A8" s="478" t="s">
        <v>650</v>
      </c>
      <c r="B8" s="479">
        <f>industrie!B18</f>
        <v>371216.08289999998</v>
      </c>
      <c r="C8" s="479">
        <f>industrie!C18</f>
        <v>11137.5</v>
      </c>
      <c r="D8" s="479">
        <f>industrie!D18</f>
        <v>284359.69630985655</v>
      </c>
      <c r="E8" s="479">
        <f>industrie!E18</f>
        <v>17387.881894585084</v>
      </c>
      <c r="F8" s="479">
        <f>industrie!F18</f>
        <v>82316.436816713045</v>
      </c>
      <c r="G8" s="479">
        <f>industrie!G18</f>
        <v>0</v>
      </c>
      <c r="H8" s="479">
        <f>industrie!H18</f>
        <v>0</v>
      </c>
      <c r="I8" s="479">
        <f>industrie!I18</f>
        <v>0</v>
      </c>
      <c r="J8" s="479">
        <f>industrie!J18</f>
        <v>1034.2355743648895</v>
      </c>
      <c r="K8" s="479">
        <f>industrie!K18</f>
        <v>0</v>
      </c>
      <c r="L8" s="479">
        <f>industrie!L18</f>
        <v>0</v>
      </c>
      <c r="M8" s="479">
        <f>industrie!M18</f>
        <v>0</v>
      </c>
      <c r="N8" s="479">
        <f>industrie!N18</f>
        <v>53130.51428325013</v>
      </c>
      <c r="O8" s="479">
        <f>industrie!O18</f>
        <v>0</v>
      </c>
      <c r="P8" s="480">
        <f>industrie!P18</f>
        <v>0</v>
      </c>
      <c r="Q8" s="478">
        <f t="shared" si="0"/>
        <v>820582.34777876968</v>
      </c>
    </row>
    <row r="9" spans="1:17" s="484" customFormat="1">
      <c r="A9" s="482" t="s">
        <v>571</v>
      </c>
      <c r="B9" s="483">
        <f>transport!B14</f>
        <v>272.95708804347561</v>
      </c>
      <c r="C9" s="483"/>
      <c r="D9" s="483">
        <f>transport!D14</f>
        <v>743.63428783024744</v>
      </c>
      <c r="E9" s="483">
        <f>transport!E14</f>
        <v>5247.2170507059109</v>
      </c>
      <c r="F9" s="483"/>
      <c r="G9" s="483">
        <f>transport!G14</f>
        <v>1764531.3040953416</v>
      </c>
      <c r="H9" s="483">
        <f>transport!H14</f>
        <v>286128.85899920797</v>
      </c>
      <c r="I9" s="483"/>
      <c r="J9" s="483"/>
      <c r="K9" s="483"/>
      <c r="L9" s="483"/>
      <c r="M9" s="483">
        <f>transport!M14</f>
        <v>110878.13584798733</v>
      </c>
      <c r="N9" s="483"/>
      <c r="O9" s="483"/>
      <c r="P9" s="483"/>
      <c r="Q9" s="482">
        <f>SUM(B9:P9)</f>
        <v>2167802.1073691165</v>
      </c>
    </row>
    <row r="10" spans="1:17">
      <c r="A10" s="478" t="s">
        <v>561</v>
      </c>
      <c r="B10" s="479">
        <f>transport!B54</f>
        <v>8967.7290869188055</v>
      </c>
      <c r="C10" s="479"/>
      <c r="D10" s="479">
        <f>transport!D54</f>
        <v>0</v>
      </c>
      <c r="E10" s="479"/>
      <c r="F10" s="479"/>
      <c r="G10" s="479">
        <f>transport!G54</f>
        <v>36028.615122619754</v>
      </c>
      <c r="H10" s="479"/>
      <c r="I10" s="479"/>
      <c r="J10" s="479"/>
      <c r="K10" s="479"/>
      <c r="L10" s="479"/>
      <c r="M10" s="479">
        <f>transport!M54</f>
        <v>2054.6068913562776</v>
      </c>
      <c r="N10" s="479"/>
      <c r="O10" s="479"/>
      <c r="P10" s="480"/>
      <c r="Q10" s="478">
        <f t="shared" si="0"/>
        <v>47050.951100894839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1465822.4490965141</v>
      </c>
      <c r="C14" s="489">
        <f t="shared" ref="C14:Q14" ca="1" si="1">SUM(C4:C13)</f>
        <v>14716.339285714286</v>
      </c>
      <c r="D14" s="489">
        <f t="shared" ca="1" si="1"/>
        <v>2071572.820566956</v>
      </c>
      <c r="E14" s="489">
        <f t="shared" si="1"/>
        <v>46476.834307828169</v>
      </c>
      <c r="F14" s="489">
        <f t="shared" ca="1" si="1"/>
        <v>198394.35959742602</v>
      </c>
      <c r="G14" s="489">
        <f t="shared" si="1"/>
        <v>1800559.9192179614</v>
      </c>
      <c r="H14" s="489">
        <f t="shared" si="1"/>
        <v>286128.85899920797</v>
      </c>
      <c r="I14" s="489">
        <f t="shared" si="1"/>
        <v>0</v>
      </c>
      <c r="J14" s="489">
        <f t="shared" si="1"/>
        <v>1519.0062596059133</v>
      </c>
      <c r="K14" s="489">
        <f t="shared" si="1"/>
        <v>0</v>
      </c>
      <c r="L14" s="489">
        <f t="shared" ca="1" si="1"/>
        <v>0</v>
      </c>
      <c r="M14" s="489">
        <f t="shared" si="1"/>
        <v>112932.74273934361</v>
      </c>
      <c r="N14" s="489">
        <f t="shared" ca="1" si="1"/>
        <v>165578.52197022387</v>
      </c>
      <c r="O14" s="489">
        <f t="shared" si="1"/>
        <v>1832.2266666666669</v>
      </c>
      <c r="P14" s="490">
        <f t="shared" si="1"/>
        <v>3317.6</v>
      </c>
      <c r="Q14" s="490">
        <f t="shared" ca="1" si="1"/>
        <v>6168851.6787074488</v>
      </c>
    </row>
    <row r="16" spans="1:17">
      <c r="A16" s="492" t="s">
        <v>566</v>
      </c>
      <c r="B16" s="842">
        <f ca="1">huishoudens!B10</f>
        <v>0.1997649967894887</v>
      </c>
      <c r="C16" s="842">
        <f ca="1">huishoudens!C10</f>
        <v>0.11330765296662904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77257.507960232862</v>
      </c>
      <c r="C21" s="479">
        <f t="shared" ref="C21:C28" ca="1" si="3">C4*$C$16</f>
        <v>0</v>
      </c>
      <c r="D21" s="479">
        <f t="shared" ref="D21:D30" si="4">D4*$D$16</f>
        <v>201546.38797641482</v>
      </c>
      <c r="E21" s="479">
        <f t="shared" ref="E21:E30" si="5">E4*$E$16</f>
        <v>4113.2672101394455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282917.16314678709</v>
      </c>
    </row>
    <row r="22" spans="1:17">
      <c r="A22" s="478" t="s">
        <v>156</v>
      </c>
      <c r="B22" s="479">
        <f t="shared" ca="1" si="2"/>
        <v>136033.83542189529</v>
      </c>
      <c r="C22" s="479">
        <f t="shared" ca="1" si="3"/>
        <v>401.04839097349179</v>
      </c>
      <c r="D22" s="479">
        <f t="shared" ca="1" si="4"/>
        <v>143517.5199522585</v>
      </c>
      <c r="E22" s="479">
        <f t="shared" si="5"/>
        <v>1292.1583828037471</v>
      </c>
      <c r="F22" s="479">
        <f t="shared" ca="1" si="6"/>
        <v>28850.768631593124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310095.33077952417</v>
      </c>
    </row>
    <row r="23" spans="1:17">
      <c r="A23" s="478" t="s">
        <v>194</v>
      </c>
      <c r="B23" s="479">
        <f t="shared" ca="1" si="2"/>
        <v>2895.07024417205</v>
      </c>
      <c r="C23" s="479"/>
      <c r="D23" s="479"/>
      <c r="E23" s="479"/>
      <c r="F23" s="479"/>
      <c r="G23" s="479"/>
      <c r="H23" s="479"/>
      <c r="I23" s="479"/>
      <c r="J23" s="479"/>
      <c r="K23" s="479"/>
      <c r="L23" s="479"/>
      <c r="M23" s="479"/>
      <c r="N23" s="479"/>
      <c r="O23" s="479"/>
      <c r="P23" s="480"/>
      <c r="Q23" s="478">
        <f t="shared" ca="1" si="17"/>
        <v>2895.07024417205</v>
      </c>
    </row>
    <row r="24" spans="1:17">
      <c r="A24" s="478" t="s">
        <v>112</v>
      </c>
      <c r="B24" s="479">
        <f t="shared" ca="1" si="2"/>
        <v>631.65795862634661</v>
      </c>
      <c r="C24" s="479">
        <f t="shared" ca="1" si="3"/>
        <v>4.4614888355610187</v>
      </c>
      <c r="D24" s="479">
        <f t="shared" si="4"/>
        <v>15802.929045119048</v>
      </c>
      <c r="E24" s="479">
        <f t="shared" si="5"/>
        <v>6.6483343527450138</v>
      </c>
      <c r="F24" s="479">
        <f t="shared" si="6"/>
        <v>2142.0367508572431</v>
      </c>
      <c r="G24" s="479">
        <f t="shared" si="7"/>
        <v>0</v>
      </c>
      <c r="H24" s="479">
        <f t="shared" si="8"/>
        <v>0</v>
      </c>
      <c r="I24" s="479">
        <f t="shared" si="9"/>
        <v>0</v>
      </c>
      <c r="J24" s="479">
        <f t="shared" si="10"/>
        <v>171.60882257532239</v>
      </c>
      <c r="K24" s="479">
        <f t="shared" si="11"/>
        <v>0</v>
      </c>
      <c r="L24" s="479">
        <f t="shared" si="12"/>
        <v>0</v>
      </c>
      <c r="M24" s="479">
        <f t="shared" si="13"/>
        <v>0</v>
      </c>
      <c r="N24" s="479">
        <f t="shared" si="14"/>
        <v>0</v>
      </c>
      <c r="O24" s="479">
        <f t="shared" si="15"/>
        <v>0</v>
      </c>
      <c r="P24" s="480">
        <f t="shared" si="16"/>
        <v>0</v>
      </c>
      <c r="Q24" s="478">
        <f t="shared" ca="1" si="17"/>
        <v>18759.342400366262</v>
      </c>
    </row>
    <row r="25" spans="1:17">
      <c r="A25" s="478" t="s">
        <v>650</v>
      </c>
      <c r="B25" s="479">
        <f t="shared" ca="1" si="2"/>
        <v>74155.979608725072</v>
      </c>
      <c r="C25" s="479">
        <f t="shared" ca="1" si="3"/>
        <v>1261.9639849158309</v>
      </c>
      <c r="D25" s="479">
        <f t="shared" si="4"/>
        <v>57440.658654591025</v>
      </c>
      <c r="E25" s="479">
        <f t="shared" si="5"/>
        <v>3947.0491900708139</v>
      </c>
      <c r="F25" s="479">
        <f t="shared" si="6"/>
        <v>21978.488630062384</v>
      </c>
      <c r="G25" s="479">
        <f t="shared" si="7"/>
        <v>0</v>
      </c>
      <c r="H25" s="479">
        <f t="shared" si="8"/>
        <v>0</v>
      </c>
      <c r="I25" s="479">
        <f t="shared" si="9"/>
        <v>0</v>
      </c>
      <c r="J25" s="479">
        <f t="shared" si="10"/>
        <v>366.1193933251709</v>
      </c>
      <c r="K25" s="479">
        <f t="shared" si="11"/>
        <v>0</v>
      </c>
      <c r="L25" s="479">
        <f t="shared" si="12"/>
        <v>0</v>
      </c>
      <c r="M25" s="479">
        <f t="shared" si="13"/>
        <v>0</v>
      </c>
      <c r="N25" s="479">
        <f t="shared" si="14"/>
        <v>0</v>
      </c>
      <c r="O25" s="479">
        <f t="shared" si="15"/>
        <v>0</v>
      </c>
      <c r="P25" s="480">
        <f t="shared" si="16"/>
        <v>0</v>
      </c>
      <c r="Q25" s="478">
        <f t="shared" ca="1" si="17"/>
        <v>159150.25946169029</v>
      </c>
    </row>
    <row r="26" spans="1:17" s="484" customFormat="1">
      <c r="A26" s="482" t="s">
        <v>571</v>
      </c>
      <c r="B26" s="836">
        <f t="shared" ca="1" si="2"/>
        <v>54.527271816673085</v>
      </c>
      <c r="C26" s="483"/>
      <c r="D26" s="483">
        <f t="shared" si="4"/>
        <v>150.21412614170998</v>
      </c>
      <c r="E26" s="483">
        <f t="shared" si="5"/>
        <v>1191.1182705102417</v>
      </c>
      <c r="F26" s="483"/>
      <c r="G26" s="483">
        <f t="shared" si="7"/>
        <v>471129.85819345625</v>
      </c>
      <c r="H26" s="483">
        <f t="shared" si="8"/>
        <v>71246.085890802788</v>
      </c>
      <c r="I26" s="483"/>
      <c r="J26" s="483"/>
      <c r="K26" s="483"/>
      <c r="L26" s="483"/>
      <c r="M26" s="483">
        <f t="shared" si="13"/>
        <v>0</v>
      </c>
      <c r="N26" s="483"/>
      <c r="O26" s="483"/>
      <c r="P26" s="494"/>
      <c r="Q26" s="482">
        <f t="shared" ca="1" si="17"/>
        <v>543771.80375272769</v>
      </c>
    </row>
    <row r="27" spans="1:17">
      <c r="A27" s="478" t="s">
        <v>561</v>
      </c>
      <c r="B27" s="479">
        <f t="shared" ca="1" si="2"/>
        <v>1791.4383722573396</v>
      </c>
      <c r="C27" s="479"/>
      <c r="D27" s="483">
        <f t="shared" si="4"/>
        <v>0</v>
      </c>
      <c r="E27" s="479"/>
      <c r="F27" s="479"/>
      <c r="G27" s="479">
        <f t="shared" si="7"/>
        <v>9619.6402377394752</v>
      </c>
      <c r="H27" s="479"/>
      <c r="I27" s="479"/>
      <c r="J27" s="479"/>
      <c r="K27" s="479"/>
      <c r="L27" s="479"/>
      <c r="M27" s="479">
        <f t="shared" si="13"/>
        <v>0</v>
      </c>
      <c r="N27" s="479"/>
      <c r="O27" s="479"/>
      <c r="P27" s="480"/>
      <c r="Q27" s="478">
        <f t="shared" ca="1" si="17"/>
        <v>11411.078609996815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292820.01683772565</v>
      </c>
      <c r="C31" s="489">
        <f t="shared" ca="1" si="18"/>
        <v>1667.4738647248837</v>
      </c>
      <c r="D31" s="489">
        <f t="shared" ca="1" si="18"/>
        <v>418457.70975452504</v>
      </c>
      <c r="E31" s="489">
        <f t="shared" si="18"/>
        <v>10550.241387876993</v>
      </c>
      <c r="F31" s="489">
        <f t="shared" ca="1" si="18"/>
        <v>52971.29401251275</v>
      </c>
      <c r="G31" s="489">
        <f t="shared" si="18"/>
        <v>480749.49843119574</v>
      </c>
      <c r="H31" s="489">
        <f t="shared" si="18"/>
        <v>71246.085890802788</v>
      </c>
      <c r="I31" s="489">
        <f t="shared" si="18"/>
        <v>0</v>
      </c>
      <c r="J31" s="489">
        <f t="shared" si="18"/>
        <v>537.7282159004933</v>
      </c>
      <c r="K31" s="489">
        <f t="shared" si="18"/>
        <v>0</v>
      </c>
      <c r="L31" s="489">
        <f t="shared" ca="1" si="18"/>
        <v>0</v>
      </c>
      <c r="M31" s="489">
        <f t="shared" si="18"/>
        <v>0</v>
      </c>
      <c r="N31" s="489">
        <f t="shared" ca="1" si="18"/>
        <v>0</v>
      </c>
      <c r="O31" s="489">
        <f t="shared" si="18"/>
        <v>0</v>
      </c>
      <c r="P31" s="490">
        <f t="shared" si="18"/>
        <v>0</v>
      </c>
      <c r="Q31" s="490">
        <f t="shared" ca="1" si="18"/>
        <v>1329000.0483952642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0.1997649967894887</v>
      </c>
      <c r="C17" s="529">
        <f ca="1">'EF ele_warmte'!B22</f>
        <v>0.11330765296662904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3</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57.2</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0.1997649967894887</v>
      </c>
      <c r="C17" s="529">
        <f ca="1">'EF ele_warmte'!B22</f>
        <v>0.11330765296662904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0.1997649967894887</v>
      </c>
      <c r="C29" s="530">
        <f ca="1">'EF ele_warmte'!B22</f>
        <v>0.11330765296662904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2019-01-01T21:33:35Z</dcterms:modified>
</cp:coreProperties>
</file>